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55" tabRatio="880" activeTab="9"/>
  </bookViews>
  <sheets>
    <sheet name="48" sheetId="1" r:id="rId1"/>
    <sheet name="50" sheetId="2" r:id="rId2"/>
    <sheet name="51" sheetId="3" r:id="rId3"/>
    <sheet name="52" sheetId="4" r:id="rId4"/>
    <sheet name="53" sheetId="5" r:id="rId5"/>
    <sheet name="54" sheetId="6" r:id="rId6"/>
    <sheet name="58" sheetId="7" r:id="rId7"/>
    <sheet name="59" sheetId="8" r:id="rId8"/>
    <sheet name="61" sheetId="9" r:id="rId9"/>
    <sheet name="64" sheetId="10" r:id="rId10"/>
  </sheets>
  <definedNames>
    <definedName name="chuong_phuluc_48" localSheetId="0">'48'!$E$1</definedName>
    <definedName name="chuong_phuluc_48_name" localSheetId="0">'48'!$A$2</definedName>
    <definedName name="chuong_phuluc_52" localSheetId="3">'52'!#REF!</definedName>
    <definedName name="chuong_phuluc_52_name" localSheetId="3">'52'!$A$2</definedName>
    <definedName name="chuong_phuluc_54" localSheetId="5">'54'!#REF!</definedName>
    <definedName name="chuong_phuluc_54_name" localSheetId="5">'54'!$A$2</definedName>
    <definedName name="chuong_phuluc_57" localSheetId="6">'58'!$K$1</definedName>
    <definedName name="chuong_phuluc_57_name" localSheetId="6">'58'!$A$2</definedName>
    <definedName name="chuong_phuluc_59_name" localSheetId="7">'59'!$A$2</definedName>
    <definedName name="chuong_phuluc_61" localSheetId="8">'61'!$AD$1</definedName>
    <definedName name="chuong_phuluc_61_name" localSheetId="8">'61'!$A$2</definedName>
    <definedName name="_xlnm.Print_Area" localSheetId="0">'48'!$A$1:$F$44</definedName>
    <definedName name="_xlnm.Print_Area" localSheetId="1">'50'!$A$1:$H$63</definedName>
    <definedName name="_xlnm.Print_Area" localSheetId="2">'51'!$A$1:$E$61</definedName>
    <definedName name="_xlnm.Print_Area" localSheetId="3">'52'!$A$1:$E$50</definedName>
    <definedName name="_xlnm.Print_Area" localSheetId="4">'53'!$A$1:$K$57</definedName>
    <definedName name="_xlnm.Print_Area" localSheetId="5">'54'!$A$1:$X$84</definedName>
    <definedName name="_xlnm.Print_Area" localSheetId="6">'58'!$A$1:$U$21</definedName>
    <definedName name="_xlnm.Print_Area" localSheetId="7">'59'!$A$1:$Z$22</definedName>
    <definedName name="_xlnm.Print_Area" localSheetId="8">'61'!$A$1:$AF$44</definedName>
    <definedName name="_xlnm.Print_Area" localSheetId="9">'64'!$A$1:$E$41</definedName>
    <definedName name="_xlnm.Print_Titles" localSheetId="1">'50'!$6:$8</definedName>
    <definedName name="_xlnm.Print_Titles" localSheetId="2">'51'!$6:$7</definedName>
    <definedName name="_xlnm.Print_Titles" localSheetId="3">'52'!$6:$7</definedName>
    <definedName name="_xlnm.Print_Titles" localSheetId="4">'53'!$6:$7</definedName>
    <definedName name="_xlnm.Print_Titles" localSheetId="5">'54'!$6:$9</definedName>
    <definedName name="_xlnm.Print_Titles" localSheetId="8">'61'!$6:$10</definedName>
  </definedNames>
  <calcPr fullCalcOnLoad="1"/>
</workbook>
</file>

<file path=xl/sharedStrings.xml><?xml version="1.0" encoding="utf-8"?>
<sst xmlns="http://schemas.openxmlformats.org/spreadsheetml/2006/main" count="763" uniqueCount="396">
  <si>
    <t>Sự nghiệp y tế</t>
  </si>
  <si>
    <t xml:space="preserve"> - Chương trình mục tiêu phát triển lâm nghiệp bền vững</t>
  </si>
  <si>
    <t xml:space="preserve"> - Kinh phí TH Đề án Sắp xếp ổn định dân cư, PTKTXH, đảm bảo QPAN huyện Mường Nhé (Đề án 79)</t>
  </si>
  <si>
    <t xml:space="preserve"> - Thu bổ sung cân đối ngân sách</t>
  </si>
  <si>
    <t xml:space="preserve"> - Thu bổ sung có mục tiêu</t>
  </si>
  <si>
    <t xml:space="preserve"> - Thu NSĐP hưởng 100%</t>
  </si>
  <si>
    <t xml:space="preserve"> - Thu NSĐP hưởng từ các khoản thu phân chia</t>
  </si>
  <si>
    <r>
      <t xml:space="preserve">Ghi chú: </t>
    </r>
    <r>
      <rPr>
        <i/>
        <sz val="12"/>
        <rFont val="Times New Roman"/>
        <family val="1"/>
      </rPr>
      <t>(1) Số quyết toán không bao gồm nộp trả ngân sách cấp trên và số chuyển nguồn tà năm 2017 sang năm 2018.</t>
    </r>
  </si>
  <si>
    <t>Dự toán</t>
  </si>
  <si>
    <t>Biểu mẫu số 48</t>
  </si>
  <si>
    <t>Biểu mẫu số 50</t>
  </si>
  <si>
    <t>Biểu mẫu số 51</t>
  </si>
  <si>
    <t>Biểu mẫu số 52</t>
  </si>
  <si>
    <t>Chi từ nguồn thu sử dụng đất</t>
  </si>
  <si>
    <t>Chi đầu tư từ  nguồn xổ số kiến thiết</t>
  </si>
  <si>
    <t>Chi đầu tư từ nguồn vốn khác</t>
  </si>
  <si>
    <t>Nội dung chi</t>
  </si>
  <si>
    <t>So sánh QT/DT(%)</t>
  </si>
  <si>
    <t>Chi đầu tư phát triển cho chương trình, dự án theo lĩnh vực</t>
  </si>
  <si>
    <t>Chi Giáo dục - đào tạo và dạy nghề</t>
  </si>
  <si>
    <t>Chi Khoa học và công nghệ</t>
  </si>
  <si>
    <t>Chi Y tế, dân số và gia đình</t>
  </si>
  <si>
    <t>1.6</t>
  </si>
  <si>
    <t>Chi Văn hóa thông tin</t>
  </si>
  <si>
    <t>1.7</t>
  </si>
  <si>
    <t>Chi Phát thanh, truyền hình, thông tấn</t>
  </si>
  <si>
    <t>1.8</t>
  </si>
  <si>
    <t>Chi Thể dục thể thao</t>
  </si>
  <si>
    <t>1.9</t>
  </si>
  <si>
    <t>Chi Bảo vệ môi trường</t>
  </si>
  <si>
    <t>1.10</t>
  </si>
  <si>
    <t>1.11</t>
  </si>
  <si>
    <t>Hội Khuyến học</t>
  </si>
  <si>
    <t>Quỹ xúc tiến thương mại</t>
  </si>
  <si>
    <t>Đoàn 379</t>
  </si>
  <si>
    <t>Công an tỉnh</t>
  </si>
  <si>
    <t>Chia ra</t>
  </si>
  <si>
    <t>Quyết toán</t>
  </si>
  <si>
    <t xml:space="preserve">Thu bổ sung từ ngân sách cấp trên </t>
  </si>
  <si>
    <t xml:space="preserve">Tổng chi cân đối NSĐP </t>
  </si>
  <si>
    <t>CHI TRẢ NỢ GỐC CỦA NSĐP</t>
  </si>
  <si>
    <t>Bổ sung cân đối ngân sách</t>
  </si>
  <si>
    <t>Bổ sung có mục tiêu</t>
  </si>
  <si>
    <t>TỔNG CHI NGÂN SÁCH ĐỊA PHƯƠNG</t>
  </si>
  <si>
    <t>CHI CÂN ĐỐI NGÂN SÁCH ĐỊA PHƯƠNG</t>
  </si>
  <si>
    <t>Chi CTMTQG</t>
  </si>
  <si>
    <t>Chi giáo dục đào tạo dạy nghề</t>
  </si>
  <si>
    <t>Biểu mẫu số 59</t>
  </si>
  <si>
    <t>So sách (%)</t>
  </si>
  <si>
    <t>Gồm</t>
  </si>
  <si>
    <t>Vốn đầu tư để thực hiện các CTMT, nhiệm vụ</t>
  </si>
  <si>
    <t>Vốn thực hiện các CTMT quốc gia</t>
  </si>
  <si>
    <t>3=4+5</t>
  </si>
  <si>
    <t>-</t>
  </si>
  <si>
    <t xml:space="preserve">Tên đơn vị </t>
  </si>
  <si>
    <t xml:space="preserve">Thu từ khu vực doanh nghiệp có vốn đầu tư nước ngoài </t>
  </si>
  <si>
    <t xml:space="preserve">Thu từ khu vực kinh tế ngoài quốc doanh </t>
  </si>
  <si>
    <t xml:space="preserve"> - Thu khác</t>
  </si>
  <si>
    <t>Thuế xuất khẩu</t>
  </si>
  <si>
    <t>CHI CHUYỂN NGUỒN SANG NĂM SAU</t>
  </si>
  <si>
    <t>Bao gồm</t>
  </si>
  <si>
    <t>Vốn đầu tư</t>
  </si>
  <si>
    <t>Chi các chương trình mục tiêu, nhiệm vụ khác</t>
  </si>
  <si>
    <t>Chi quốc phòng</t>
  </si>
  <si>
    <t>Chi an ninh và trật tự an toàn xã hội</t>
  </si>
  <si>
    <t>Chi các hoạt động kinh tế</t>
  </si>
  <si>
    <t>Chi chuyển nguồn sang ngân sách năm sau</t>
  </si>
  <si>
    <t>Biểu mẫu số 53</t>
  </si>
  <si>
    <t>Biểu mẫu số 54</t>
  </si>
  <si>
    <t>Đầu tư phát triển</t>
  </si>
  <si>
    <t>Kinh phí sự nghiệp</t>
  </si>
  <si>
    <t>Vốn ngoài nước</t>
  </si>
  <si>
    <t>Huyện Tuần giáo</t>
  </si>
  <si>
    <t>Huyện Mường Ảng</t>
  </si>
  <si>
    <t>Huyện Điện Biên</t>
  </si>
  <si>
    <t>Huyện Mường Chà</t>
  </si>
  <si>
    <t>Huyện Tủa Chùa</t>
  </si>
  <si>
    <t>Huyện Mường Nhé</t>
  </si>
  <si>
    <t>Huyện Điện Biên Đông</t>
  </si>
  <si>
    <t>TP Điện Biên phủ</t>
  </si>
  <si>
    <t>Thị xã Mường Lay</t>
  </si>
  <si>
    <t>Huyện Nậm Pồ</t>
  </si>
  <si>
    <t xml:space="preserve"> - Bội thu</t>
  </si>
  <si>
    <t>Vốn sự nghiệp</t>
  </si>
  <si>
    <t>Chi hoạt động của các cơ quan quản lý nhà nước, đảng, đoàn thể</t>
  </si>
  <si>
    <t>1.12</t>
  </si>
  <si>
    <t>Chi Bảo đảm xã hội</t>
  </si>
  <si>
    <t>1.13</t>
  </si>
  <si>
    <t>Chi ngành, lĩnh vực khác</t>
  </si>
  <si>
    <t>2.1</t>
  </si>
  <si>
    <t>2.2</t>
  </si>
  <si>
    <t>2.3</t>
  </si>
  <si>
    <t>2.4</t>
  </si>
  <si>
    <t>2.5</t>
  </si>
  <si>
    <t>2.6</t>
  </si>
  <si>
    <t>2.7</t>
  </si>
  <si>
    <t>2.8</t>
  </si>
  <si>
    <t>2.9</t>
  </si>
  <si>
    <t>2.10</t>
  </si>
  <si>
    <t>2.11</t>
  </si>
  <si>
    <t>2.12</t>
  </si>
  <si>
    <t>2.13</t>
  </si>
  <si>
    <t>Chi khác</t>
  </si>
  <si>
    <t>CHI BỔ SUNG CHO NGÂN SÁCH CẤP DƯỚI</t>
  </si>
  <si>
    <t>Bổ sung cân đối</t>
  </si>
  <si>
    <t>CHI NỘP NGÂN SÁCH CẤP TRÊN</t>
  </si>
  <si>
    <t>Sở Ngoại vụ</t>
  </si>
  <si>
    <t>Sở Tư pháp</t>
  </si>
  <si>
    <t>Sở Công thương</t>
  </si>
  <si>
    <t>Sở Tài chính</t>
  </si>
  <si>
    <t>Sở Xây dựng</t>
  </si>
  <si>
    <t>Sở Y tế</t>
  </si>
  <si>
    <t>Sở Nội vụ</t>
  </si>
  <si>
    <t>STT</t>
  </si>
  <si>
    <t>Nội dung</t>
  </si>
  <si>
    <t>A</t>
  </si>
  <si>
    <t>B</t>
  </si>
  <si>
    <t>Đơn vị: Triệu đồng</t>
  </si>
  <si>
    <t>Thu nội địa</t>
  </si>
  <si>
    <t>II</t>
  </si>
  <si>
    <t>III</t>
  </si>
  <si>
    <t>IV</t>
  </si>
  <si>
    <t>C</t>
  </si>
  <si>
    <t>I</t>
  </si>
  <si>
    <t>D</t>
  </si>
  <si>
    <t>TỔNG CHI NSĐP</t>
  </si>
  <si>
    <t>Chi thường xuyên</t>
  </si>
  <si>
    <t>Chi trả nợ lãi các khoản do chính quyền địa phương vay</t>
  </si>
  <si>
    <t>Chi tạo nguồn, điều chỉnh tiền lương</t>
  </si>
  <si>
    <t>E</t>
  </si>
  <si>
    <t>Từ nguồn vay để trả nợ gốc</t>
  </si>
  <si>
    <t>11=12+13</t>
  </si>
  <si>
    <t>- Thuế giá trị gia tăng</t>
  </si>
  <si>
    <t>- Thuế tiêu thụ đặc biệt</t>
  </si>
  <si>
    <t>- Thuế tài nguyên</t>
  </si>
  <si>
    <t>Thu từ khu vực doanh nghiệp nhà nước do địa phương quản lý</t>
  </si>
  <si>
    <t>Tòa án nhân dân tỉnh</t>
  </si>
  <si>
    <t>Viện kiểm soát nhân dân</t>
  </si>
  <si>
    <t>Quỹ Bảo vệ môi trường</t>
  </si>
  <si>
    <t>Sở Tài nguyên và Môi trường</t>
  </si>
  <si>
    <t xml:space="preserve">Dự toán </t>
  </si>
  <si>
    <t>- Phí và lệ phí trung ương</t>
  </si>
  <si>
    <t>- Thu từ thu nhập sau thuế</t>
  </si>
  <si>
    <t>THU TỪ NGÂN SÁCH CẤP DƯỚI NỘP LÊN</t>
  </si>
  <si>
    <t xml:space="preserve">Chi khoa học và công nghệ </t>
  </si>
  <si>
    <t>Biểu mẫu số 58</t>
  </si>
  <si>
    <t>TP. Điện Biên phủ</t>
  </si>
  <si>
    <t>Vốn  sự nghiệp để thực hiện các CTMT, nhiệm vụ</t>
  </si>
  <si>
    <t>Vốn  sự nhiệp để thực hiện các CTMT, nhiệm vụ</t>
  </si>
  <si>
    <t>Thuế thu nhập cá nhân</t>
  </si>
  <si>
    <t>Thuế bảo vệ môi trường</t>
  </si>
  <si>
    <t>Thu kết dư</t>
  </si>
  <si>
    <t>So sánh</t>
  </si>
  <si>
    <t>Tuyệt đối</t>
  </si>
  <si>
    <t>TỔNG NGUỒN THU NSĐP</t>
  </si>
  <si>
    <t>Thu chuyển nguồn từ năm trước chuyển sang</t>
  </si>
  <si>
    <t>Chi bổ sung quỹ dự trữ tài chính</t>
  </si>
  <si>
    <t>Dự phòng ngân sách</t>
  </si>
  <si>
    <t>Chi các chương trình mục tiêu</t>
  </si>
  <si>
    <t>Chi các chương trình mục tiêu quốc gia</t>
  </si>
  <si>
    <t>Chi các chương trình mục tiêu, nhiệm vụ</t>
  </si>
  <si>
    <t>Chi chuyển nguồn sang năm sau</t>
  </si>
  <si>
    <t>3=2/1</t>
  </si>
  <si>
    <t>Chi nộp trả ngân sách cấp trên</t>
  </si>
  <si>
    <t>1.1</t>
  </si>
  <si>
    <t>1.2</t>
  </si>
  <si>
    <t>1.3</t>
  </si>
  <si>
    <t>1.4</t>
  </si>
  <si>
    <t>1.5</t>
  </si>
  <si>
    <t>* Vốn đầu tư</t>
  </si>
  <si>
    <t>* Vốn sự nghiệp</t>
  </si>
  <si>
    <t>Chương trình Xây dựng nông thôn mới</t>
  </si>
  <si>
    <t>* Chi đầu tư</t>
  </si>
  <si>
    <t>* Chi sự nghiệp</t>
  </si>
  <si>
    <t>Từ nguồn bội thu</t>
  </si>
  <si>
    <t>Tổng thu NSNN</t>
  </si>
  <si>
    <t>Thu NSĐP</t>
  </si>
  <si>
    <t>5=3/1</t>
  </si>
  <si>
    <t>6=4/2</t>
  </si>
  <si>
    <t>TỔNG THU CÂN ĐỐI NSNN</t>
  </si>
  <si>
    <t xml:space="preserve">Thu phí, lệ phí </t>
  </si>
  <si>
    <t>Tiền cho thuê đất, thuê mặt nước</t>
  </si>
  <si>
    <t>Thu tiền sử dụng đất</t>
  </si>
  <si>
    <t>Tiền cho thuê và tiền bán nhà ở thuộc sở hữu nhà nước</t>
  </si>
  <si>
    <t>Thu từ hoạt động xổ số kiến thiết</t>
  </si>
  <si>
    <t>- Thuế BVMT thu từ hàng hóa sản xuất, kinh doanh trong nước</t>
  </si>
  <si>
    <t>Bảo hiểm Xã hội tỉnh</t>
  </si>
  <si>
    <t>Chi bổ sung cho ngân sách cấp dưới</t>
  </si>
  <si>
    <t>3=2-1</t>
  </si>
  <si>
    <t>4=2/1</t>
  </si>
  <si>
    <t>Thu NSĐP được hưởng theo phân cấp</t>
  </si>
  <si>
    <t>Chi đầu tư phát triển</t>
  </si>
  <si>
    <t>TỔNG MỨC VAY CỦA NSĐP</t>
  </si>
  <si>
    <t>So sánh (%)</t>
  </si>
  <si>
    <t>Thuế sử dụng đất nông nghiệp</t>
  </si>
  <si>
    <t>Thuế sử dụng đất phi nông nghiệp</t>
  </si>
  <si>
    <t>Thu tiền cấp quyền khai thác khoáng sản</t>
  </si>
  <si>
    <t>Thu khác ngân sách</t>
  </si>
  <si>
    <t>Thuế nhập khẩu</t>
  </si>
  <si>
    <t>Thu khác</t>
  </si>
  <si>
    <t>Thu viện trợ</t>
  </si>
  <si>
    <t>Tương đối (%)</t>
  </si>
  <si>
    <t>Chi giáo dục - đào tạo và dạy nghề</t>
  </si>
  <si>
    <t>Chi khoa học và công nghệ</t>
  </si>
  <si>
    <t>VI</t>
  </si>
  <si>
    <t>CHI CÁC CHƯƠNG TRÌNH MỤC TIÊU</t>
  </si>
  <si>
    <t>Lệ phí trước bạ</t>
  </si>
  <si>
    <t>Chi chương trình MTQG</t>
  </si>
  <si>
    <t>Chi sự nghiệp</t>
  </si>
  <si>
    <t>5=4/3</t>
  </si>
  <si>
    <t>Đơn vị tính: Triệu đồng</t>
  </si>
  <si>
    <t>Các khoản huy động, đóng góp</t>
  </si>
  <si>
    <t>Thu từ ngân sách cấp dưới nộp lên</t>
  </si>
  <si>
    <t>Chi đầu tư</t>
  </si>
  <si>
    <t xml:space="preserve">Chi đầu tư </t>
  </si>
  <si>
    <t>Ngân sách cấp tỉnh</t>
  </si>
  <si>
    <t>Ngân sách cấp huyện</t>
  </si>
  <si>
    <t>7=4/1</t>
  </si>
  <si>
    <t>8=5/2</t>
  </si>
  <si>
    <t>9=6/3</t>
  </si>
  <si>
    <t>Ngân sách địa phương</t>
  </si>
  <si>
    <t xml:space="preserve">Ngân sách cấp tỉnh </t>
  </si>
  <si>
    <t xml:space="preserve">Ngân sách huyện </t>
  </si>
  <si>
    <t>Biểu mẫu số 61</t>
  </si>
  <si>
    <t>Vay để bù đắp bội chi</t>
  </si>
  <si>
    <t>Vay để trả nợ gốc</t>
  </si>
  <si>
    <t>V</t>
  </si>
  <si>
    <t>Tổng số</t>
  </si>
  <si>
    <t>TỔNG SỐ</t>
  </si>
  <si>
    <t>Trong đó:</t>
  </si>
  <si>
    <t>Vốn trong nước</t>
  </si>
  <si>
    <t>Tên đơn vị</t>
  </si>
  <si>
    <t>Trong đó</t>
  </si>
  <si>
    <t>Thanh tra tỉnh</t>
  </si>
  <si>
    <t>Tỉnh ủy</t>
  </si>
  <si>
    <t>Hội Nông dân</t>
  </si>
  <si>
    <t>Thu từ quỹ đất công ích, hoa lợi công sản khác</t>
  </si>
  <si>
    <t xml:space="preserve">Thu từ hoạt động xuất nhập khẩu </t>
  </si>
  <si>
    <t>Thuế tiêu thụ đặc biệt thu từ hàng hóa nhập khẩu</t>
  </si>
  <si>
    <t>Thuế bảo vệ môi trường thu từ hàng hóa nhập khẩu</t>
  </si>
  <si>
    <t>Thuế giá trị gia tăng thu từ hàng hóa nhập khẩu</t>
  </si>
  <si>
    <t>THU KẾT DƯ NĂM TRƯỚC</t>
  </si>
  <si>
    <t>THU CHUYỂN NGUỒN TỪ NĂM TRƯỚC CHUYỂN SANG</t>
  </si>
  <si>
    <t>- Thuế thu nhập doanh nghiệp</t>
  </si>
  <si>
    <t>nộp trả</t>
  </si>
  <si>
    <t>CN</t>
  </si>
  <si>
    <t>Ban dân tộc</t>
  </si>
  <si>
    <t>Sở Giáo dục và Đào tạo</t>
  </si>
  <si>
    <t>Sở Nông nghiệp và PTNT</t>
  </si>
  <si>
    <t xml:space="preserve">Nội dung </t>
  </si>
  <si>
    <t>Trường Chính trị tỉnh</t>
  </si>
  <si>
    <t>Tỉnh Đoàn thanh niên</t>
  </si>
  <si>
    <t>Sở Kế hoạch và Đầu tư</t>
  </si>
  <si>
    <t>Cục thống kê</t>
  </si>
  <si>
    <t>- Thuế BVMT thu từ hàng hóa nhập khẩu</t>
  </si>
  <si>
    <t>Chi đầu tư phát triển (không kể chương trình MTQG)</t>
  </si>
  <si>
    <t>Chi thường xuyên (không kể chương trình MTQG)</t>
  </si>
  <si>
    <t xml:space="preserve"> - Thủy lợi</t>
  </si>
  <si>
    <t>Sự nghiệp giáo dục - đào tạo và dạy nghề</t>
  </si>
  <si>
    <t>Sự nghiệp văn hóa thông tin</t>
  </si>
  <si>
    <t>Biểu mẫu số 64</t>
  </si>
  <si>
    <t>(KHÔNG BAO GỒM NGUỒN NGÂN SÁCH NHÀ NƯỚC)</t>
  </si>
  <si>
    <t>Sự nghiệp phát thanh truyền hình</t>
  </si>
  <si>
    <t>Sự nghiệp thể dục thể thao</t>
  </si>
  <si>
    <t>Huyện Tuần Giáo</t>
  </si>
  <si>
    <t>Chi đầu tư và hỗ trợ vốn cho các doanh nghiệp cung cấp sản phẩm, dịch vụ công ích do nhà nước đặt hàng, các tổ chức kinh tế, các tổ chức tài chính của địa phương theo quy định</t>
  </si>
  <si>
    <t>Chi đầu tư cho các dự án</t>
  </si>
  <si>
    <t>Sự nghiệp môi trường</t>
  </si>
  <si>
    <t xml:space="preserve"> - DA di dân tái định cư thủy điện Sơn la</t>
  </si>
  <si>
    <t xml:space="preserve"> - Giáo dục</t>
  </si>
  <si>
    <t xml:space="preserve"> - Giao thông</t>
  </si>
  <si>
    <t xml:space="preserve"> + Sở GD và ĐT</t>
  </si>
  <si>
    <t xml:space="preserve"> + Trường CĐ sư phạm</t>
  </si>
  <si>
    <t xml:space="preserve"> + Trường CĐ Kinhh tế kỹ thuật</t>
  </si>
  <si>
    <t xml:space="preserve"> + Trường Cao đẳng Nghề</t>
  </si>
  <si>
    <t xml:space="preserve"> + Trường Cao đẳng y tế</t>
  </si>
  <si>
    <t xml:space="preserve"> + Trường chính trị</t>
  </si>
  <si>
    <t>Sự nghiệp khoa học và công nghệ</t>
  </si>
  <si>
    <t xml:space="preserve"> + Nhà thiếu nhi</t>
  </si>
  <si>
    <t xml:space="preserve"> + Sở Văn hóa, TTDL</t>
  </si>
  <si>
    <t xml:space="preserve"> + Đài phát thanh truyền hình</t>
  </si>
  <si>
    <t>Sự nghiệp kinh tế, sự nghiệp khác</t>
  </si>
  <si>
    <t xml:space="preserve"> + Sở TTTT</t>
  </si>
  <si>
    <t xml:space="preserve"> + Sở Tài nguyên và môi trường</t>
  </si>
  <si>
    <t xml:space="preserve"> + VP UBND tỉnh</t>
  </si>
  <si>
    <t xml:space="preserve"> + Hội nông dân</t>
  </si>
  <si>
    <t xml:space="preserve"> + Sở LĐTBXH</t>
  </si>
  <si>
    <t xml:space="preserve"> + Sở Công Thương</t>
  </si>
  <si>
    <t xml:space="preserve"> + Sở GTVT</t>
  </si>
  <si>
    <t xml:space="preserve"> + Sở Nông nghiệp</t>
  </si>
  <si>
    <t>Hội Luật gia</t>
  </si>
  <si>
    <t>Hội chữ thập đỏ</t>
  </si>
  <si>
    <t>Hội bảo trợ NTT, NM và TMC</t>
  </si>
  <si>
    <t>Cục Thi hành án</t>
  </si>
  <si>
    <t>Chi nhánh ngân hàng chính sách xã hội tỉnh</t>
  </si>
  <si>
    <t>Công ty cao su Điện Biên</t>
  </si>
  <si>
    <t>Công ty TNHH Quản lý Thủy Nông</t>
  </si>
  <si>
    <t>Công ty cao su Mường nhé</t>
  </si>
  <si>
    <t>Sở Khoa học và Công nghệ</t>
  </si>
  <si>
    <t>Bộ Chỉ huy Quân sự tỉnh</t>
  </si>
  <si>
    <t>Ban QLDA các công trình di dân TĐC thủy điện Sơn La</t>
  </si>
  <si>
    <t>Bộ chỉ huy Bộ đội Biên phòng tỉnh</t>
  </si>
  <si>
    <t xml:space="preserve"> - Bội chi</t>
  </si>
  <si>
    <t>BỘI CHI NSĐP/BỘI THU NSĐP/KẾT DƯ NSĐP</t>
  </si>
  <si>
    <t xml:space="preserve"> - Kết dư</t>
  </si>
  <si>
    <t>Thu từ khu vực doanh nghiệp nhà nước do trung ương quản lý</t>
  </si>
  <si>
    <t xml:space="preserve">Thu hồi vốn, thu cổ tức </t>
  </si>
  <si>
    <t>TỔNG NGUỒN THU NSNN (A+B+C+D)</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</si>
  <si>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</si>
  <si>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 (bổ sung vốn cho quỹ phát triển đất)</t>
  </si>
  <si>
    <t xml:space="preserve">II </t>
  </si>
  <si>
    <t>CHI NGÂN SÁCH CẤP TỈNH THEO LĨNH VỰC</t>
  </si>
  <si>
    <t>Quỹ Phát triển đất</t>
  </si>
  <si>
    <t>Sở Giao thông Vận tải</t>
  </si>
  <si>
    <t>Sở Thông tin và Truyền thông</t>
  </si>
  <si>
    <t>Sở Lao động - Thương binh và Xã hội</t>
  </si>
  <si>
    <t>Sở Văn hóa - Thể thao và Du lịch</t>
  </si>
  <si>
    <t>Ủy ban Mặt trận Tổ quốc</t>
  </si>
  <si>
    <t>Trường CĐ Kinh tế - Kỹ thuật</t>
  </si>
  <si>
    <t>Hội Cựu chiến binh</t>
  </si>
  <si>
    <t>Hội Liên hiệp phụ nữ tỉnh</t>
  </si>
  <si>
    <t>Trường CĐ Nghề</t>
  </si>
  <si>
    <t>Ban QLDA các công trình Giao thông</t>
  </si>
  <si>
    <t>Văn phòng UBND tỉnh</t>
  </si>
  <si>
    <t>Văn phòng điều phối chương trình NTM</t>
  </si>
  <si>
    <t>Ban QLDA các công trình Dân dụng và Công nghiệp</t>
  </si>
  <si>
    <t>Đài Phát thanh và Truyền hình tỉnh</t>
  </si>
  <si>
    <t>Hội Cựu thanh niên xung phong</t>
  </si>
  <si>
    <t>Liên hiệp các hội Khoa học và Kỹ thuật</t>
  </si>
  <si>
    <t>Liên minh Hợp tác xã</t>
  </si>
  <si>
    <t>Hội nạn nhân chất độc da cam</t>
  </si>
  <si>
    <t>Hội Người cao tuổi</t>
  </si>
  <si>
    <t>Hội Đông y</t>
  </si>
  <si>
    <t>Hội Nhà báo</t>
  </si>
  <si>
    <t>Hội Văn học nghệ thuật</t>
  </si>
  <si>
    <t>Chi chuyển nguồn thường xuyên</t>
  </si>
  <si>
    <t xml:space="preserve">Ban QLDA các công trình Nông nghiệp và PTNT </t>
  </si>
  <si>
    <t>Chương trình mục tiêu quốc gia giảm nghèo bền vững</t>
  </si>
  <si>
    <t>Chương trình mục tiêu quốc gia nông thôn mới</t>
  </si>
  <si>
    <t>21=5/1</t>
  </si>
  <si>
    <t>22=6/2</t>
  </si>
  <si>
    <t>23=7/3</t>
  </si>
  <si>
    <t>Sự nghiệp giáo dục</t>
  </si>
  <si>
    <t>Sự nghiệp đào tạo và dạy nghề</t>
  </si>
  <si>
    <t xml:space="preserve"> + Sở Tư pháp</t>
  </si>
  <si>
    <t xml:space="preserve"> + Sở xây dựng (TTQH + TT KĐCLXD )</t>
  </si>
  <si>
    <t xml:space="preserve"> + Sở NNPTNT</t>
  </si>
  <si>
    <t xml:space="preserve"> + Sở Tài nguyên và Môi trường</t>
  </si>
  <si>
    <t>Chi đầu tư xây dựng cơ bản vốn trong nước</t>
  </si>
  <si>
    <t xml:space="preserve"> - Thu viện trợ</t>
  </si>
  <si>
    <t xml:space="preserve">QUYẾT TOÁN CÂN ĐỐI NGÂN SÁCH ĐỊA PHƯƠNG NĂM 2022
 </t>
  </si>
  <si>
    <t xml:space="preserve">TỔNG HỢP QUYẾT TOÁN NGUỒN THU NGÂN SÁCH NHÀ NƯỚC TRÊN ĐỊA BÀN THEO LĨNH VỰC NĂM 2022
</t>
  </si>
  <si>
    <t>- Phí và lệ địa phương</t>
  </si>
  <si>
    <t>QUYẾT TOÁN CHI NGÂN SÁCH ĐỊA PHƯƠNG THEO LĨNH VỰC NĂM 2022</t>
  </si>
  <si>
    <t>Chương trình Phát triển kinh tế - xã hội vùng đồng bào dân tộc thiểu số và miền núi</t>
  </si>
  <si>
    <t xml:space="preserve">Chương trình Giảm nghèo  bền vững   </t>
  </si>
  <si>
    <t xml:space="preserve"> - Đầu tư các dự án từ nguồn vốn nước ngoài </t>
  </si>
  <si>
    <t xml:space="preserve"> - Đầu tư các dự án từ nguồn vốn trong nước</t>
  </si>
  <si>
    <t xml:space="preserve"> - Vốn trái phiếu chính phủ</t>
  </si>
  <si>
    <t xml:space="preserve"> - Vốn nước ngoài: Dự án an ninh y tế khu vực tiểu vùng Mê Công mở rộng</t>
  </si>
  <si>
    <t xml:space="preserve"> - Hỗ trợ thực hiện một số Đề án, Dự án khoa học và công nghệ</t>
  </si>
  <si>
    <t xml:space="preserve"> - Vốn dự bị động viên</t>
  </si>
  <si>
    <t xml:space="preserve"> - Kinh phí thực hiện nhiệm vụ đảm bảo trật tự an toàn giao thông</t>
  </si>
  <si>
    <t xml:space="preserve"> - Kinh phí quản lý, bảo trì đường bộ</t>
  </si>
  <si>
    <t xml:space="preserve"> - Kinh phí thực hiện Đề án bồi dưỡng cán bộ, công chức Hội Liên hiệp phụ nữ các cấp và chi hội trưởng hội phụ nữ giai đoạn 2019-2025</t>
  </si>
  <si>
    <t xml:space="preserve"> - Kinh phí hỗ trợ hoạt động sáng tạo tác phẩm báo chí, công trình văn học nghệ thuật</t>
  </si>
  <si>
    <t xml:space="preserve"> - Chương trình mục tiêu Giáo dục nghề nghiệp - Việc làm và ATLĐ</t>
  </si>
  <si>
    <t xml:space="preserve"> - Chương trình phát triển công tác xã hội</t>
  </si>
  <si>
    <t xml:space="preserve"> - Chương trình trợ giúp xã hội đối với người tâm thần , trẻ tự kỷ và người rối nhiễu tâm trí</t>
  </si>
  <si>
    <t xml:space="preserve">QUYẾT TOÁN CHI NGÂN SÁCH CẤP TỈNH  THEO LĨNH VỰC NĂM 2022
</t>
  </si>
  <si>
    <t>QUYẾT TOÁN CHI NGÂN SÁCH ĐỊA PHƯƠNG, CHI NGÂN SÁCH CẤP TỈNH  VÀ CHI NGÂN SÁCH HUYỆN THEO CƠ CẤU CHI NĂM 2022</t>
  </si>
  <si>
    <t>Các cơ quan, tổ chức</t>
  </si>
  <si>
    <t>Văn phòng Đoàn ĐBQH và HĐND tỉnh</t>
  </si>
  <si>
    <t>Công ty CP xây dựng thủy lợi</t>
  </si>
  <si>
    <t xml:space="preserve">Các đơn vị khác </t>
  </si>
  <si>
    <t>Liên đoàn lao động tỉnh</t>
  </si>
  <si>
    <t>Quỹ vắc xin phòng Covid-19</t>
  </si>
  <si>
    <t>Chi chuyển giao</t>
  </si>
  <si>
    <t xml:space="preserve">V </t>
  </si>
  <si>
    <t>Chi chuyển giao ngân sách</t>
  </si>
  <si>
    <t>QUYẾT TOÁN CHI NGÂN SÁCH CẤP TỈNH CHO TỪNG CƠ QUAN, TỔ CHỨC THEO LĨNH VỰC NĂM 2022</t>
  </si>
  <si>
    <t>18=8/2</t>
  </si>
  <si>
    <t>19=9/3</t>
  </si>
  <si>
    <t>20=10/4</t>
  </si>
  <si>
    <t>21=11/5</t>
  </si>
  <si>
    <t>22=16/6</t>
  </si>
  <si>
    <t>17=7/1</t>
  </si>
  <si>
    <t>QUYẾT TOÁN CHI NGÂN SÁCH ĐỊA PHƯƠNG TỪNG HUYỆN NĂM 2022</t>
  </si>
  <si>
    <t>QUYẾT TOÁN CHI BỔ SUNG TỪ NGÂN SÁCH CẤP TỈNH  CHO NGÂN SÁCH TỪNG HUYỆN  NĂM 2022</t>
  </si>
  <si>
    <t>TỔNG HỢP THU DỊCH VỤ CỦA ĐƠN VỊ SỰ NGHIỆP CÔNG NĂM 2022</t>
  </si>
  <si>
    <t>Kế hoạch năm 2022</t>
  </si>
  <si>
    <t>Thực hiện năm 2022</t>
  </si>
  <si>
    <t>QUYẾT TOÁN CHI CHƯƠNG TRÌNH MỤC TIÊU QUỐC GIA NĂM 2022</t>
  </si>
  <si>
    <t>Chương trình mục tiêu quốc gia phát triển kinh tế - xã hội vùng đồng bào dân tộc thiểu số và miền núi</t>
  </si>
  <si>
    <t>Chi đầu tư từ nguồn thu sử dụng đất</t>
  </si>
  <si>
    <t>(Kèm theo Nghị quyết số      /NQ-HĐND ngày      tháng  6 năm 2024 của HĐND tỉnh Điện Biên)</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</si>
</sst>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5" formatCode="#,##0.0000"/>
    <numFmt numFmtId="176" formatCode="#,##0.00000"/>
    <numFmt numFmtId="177" formatCode="#,##0.000000"/>
    <numFmt numFmtId="180" formatCode="#,##0;[Red]#,##0"/>
    <numFmt numFmtId="186" formatCode="#,##0.0000000"/>
    <numFmt numFmtId="187" formatCode="0.00000"/>
    <numFmt numFmtId="188" formatCode="0.000000"/>
    <numFmt numFmtId="218" formatCode="#,##0.0000000;[Red]#,##0.0000000"/>
  </numFmts>
  <fonts count="85">
    <font>
      <sz val="11"/>
      <color theme="1"/>
      <name val="Calibri"/>
      <family val="2"/>
    </font>
    <font>
      <sz val="12"/>
      <color indexed="8"/>
      <name val="Times New Roman"/>
      <family val="2"/>
    </font>
    <font>
      <b/>
      <sz val="12"/>
      <color indexed="8"/>
      <name val="Times New Roman"/>
      <family val="1"/>
    </font>
    <font>
      <i/>
      <sz val="12"/>
      <color indexed="8"/>
      <name val="Times New Roman"/>
      <family val="1"/>
    </font>
    <font>
      <b/>
      <i/>
      <sz val="12"/>
      <color indexed="8"/>
      <name val="Times New Roman"/>
      <family val="1"/>
    </font>
    <font>
      <b/>
      <sz val="12"/>
      <name val="Times New Roman"/>
      <family val="1"/>
    </font>
    <font>
      <i/>
      <sz val="12"/>
      <name val="Times New Roman"/>
      <family val="1"/>
    </font>
    <font>
      <sz val="12"/>
      <name val="Times New Roman"/>
      <family val="1"/>
    </font>
    <font>
      <sz val="11"/>
      <color indexed="8"/>
      <name val="Calibri"/>
      <family val="2"/>
    </font>
    <font>
      <sz val="8"/>
      <name val="Calibri"/>
      <family val="2"/>
    </font>
    <font>
      <sz val="10"/>
      <color indexed="8"/>
      <name val="MS Sans Serif"/>
      <family val="2"/>
    </font>
    <font>
      <sz val="11"/>
      <name val="Calibri"/>
      <family val="2"/>
    </font>
    <font>
      <sz val="14"/>
      <name val="Times New Roman"/>
      <family val="1"/>
    </font>
    <font>
      <sz val="10"/>
      <name val="Times New Roman"/>
      <family val="1"/>
    </font>
    <font>
      <b/>
      <sz val="10"/>
      <name val="Times New Roman"/>
      <family val="1"/>
    </font>
    <font>
      <sz val="11"/>
      <color indexed="8"/>
      <name val="Times New Roman"/>
      <family val="2"/>
    </font>
    <font>
      <i/>
      <sz val="14"/>
      <color indexed="8"/>
      <name val="Times New Roman"/>
      <family val="1"/>
    </font>
    <font>
      <b/>
      <i/>
      <sz val="12"/>
      <name val="Times New Roman"/>
      <family val="1"/>
    </font>
    <font>
      <b/>
      <sz val="13"/>
      <name val="Times New Roman"/>
      <family val="1"/>
    </font>
    <font>
      <b/>
      <sz val="11"/>
      <name val="Times New Roman"/>
      <family val="1"/>
    </font>
    <font>
      <i/>
      <sz val="13"/>
      <color indexed="8"/>
      <name val="Times New Roman"/>
      <family val="1"/>
    </font>
    <font>
      <sz val="10"/>
      <name val="Arial"/>
      <family val="2"/>
    </font>
    <font>
      <sz val="12"/>
      <name val=".VnTime"/>
      <family val="2"/>
    </font>
    <font>
      <sz val="14"/>
      <name val=".VnTime"/>
      <family val="2"/>
    </font>
    <font>
      <sz val="10"/>
      <name val=".VnTime"/>
      <family val="2"/>
    </font>
    <font>
      <i/>
      <sz val="11"/>
      <name val="Calibri"/>
      <family val="2"/>
    </font>
    <font>
      <b/>
      <sz val="11"/>
      <name val="Calibri"/>
      <family val="2"/>
    </font>
    <font>
      <sz val="14"/>
      <name val="Calibri"/>
      <family val="2"/>
    </font>
    <font>
      <i/>
      <sz val="14"/>
      <name val="Times New Roman"/>
      <family val="1"/>
    </font>
    <font>
      <sz val="10"/>
      <name val="MS Sans Serif"/>
      <family val="2"/>
    </font>
    <font>
      <b/>
      <sz val="18"/>
      <name val="Times New Roman"/>
      <family val="1"/>
    </font>
    <font>
      <b/>
      <sz val="10"/>
      <name val="MS Sans Serif"/>
      <family val="2"/>
    </font>
    <font>
      <sz val="10"/>
      <name val="Calibri"/>
      <family val="2"/>
    </font>
    <font>
      <sz val="9"/>
      <name val="Times New Roman"/>
      <family val="1"/>
    </font>
    <font>
      <b/>
      <sz val="9"/>
      <name val="Times New Roman"/>
      <family val="1"/>
    </font>
    <font>
      <b/>
      <sz val="8.5"/>
      <name val="Times New Roman"/>
      <family val="1"/>
    </font>
    <font>
      <sz val="8.5"/>
      <name val="Times New Roman"/>
      <family val="1"/>
    </font>
    <font>
      <b/>
      <sz val="13"/>
      <color indexed="8"/>
      <name val="Times New Roman"/>
      <family val="1"/>
    </font>
    <font>
      <sz val="11"/>
      <color indexed="8"/>
      <name val="Arial"/>
      <family val="2"/>
    </font>
    <font>
      <sz val="10"/>
      <name val="Helv"/>
      <family val="2"/>
    </font>
    <font>
      <sz val="13"/>
      <name val="MS Sans Serif"/>
      <family val="2"/>
    </font>
    <font>
      <sz val="13"/>
      <name val="Arial"/>
      <family val="2"/>
    </font>
    <font>
      <i/>
      <sz val="13"/>
      <name val="Times New Roman"/>
      <family val="1"/>
    </font>
    <font>
      <sz val="9"/>
      <name val="Calibri"/>
      <family val="2"/>
    </font>
    <font>
      <sz val="13"/>
      <name val="Times New Roman"/>
      <family val="1"/>
    </font>
    <font>
      <sz val="12"/>
      <color indexed="10"/>
      <name val="Times New Roman"/>
      <family val="1"/>
    </font>
    <font>
      <b/>
      <sz val="12"/>
      <color indexed="10"/>
      <name val="Times New Roman"/>
      <family val="1"/>
    </font>
    <font>
      <sz val="13"/>
      <color indexed="8"/>
      <name val="Times New Roman"/>
      <family val="1"/>
    </font>
    <font>
      <sz val="11"/>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Calibri"/>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Calibri"/>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3"/>
      <color theme="1"/>
      <name val="Times New Roman"/>
      <family val="1"/>
    </font>
    <font>
      <i/>
      <sz val="13"/>
      <color theme="1"/>
      <name val="Times New Roman"/>
      <family val="1"/>
    </font>
    <font>
      <i/>
      <sz val="12"/>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color indexed="63"/>
      </top>
      <bottom style="thin"/>
    </border>
    <border>
      <left style="thin"/>
      <right style="thin"/>
      <top>
        <color indexed="63"/>
      </top>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style="thin"/>
      <top style="hair"/>
      <bottom>
        <color indexed="63"/>
      </bottom>
    </border>
    <border>
      <left style="thin"/>
      <right style="thin"/>
      <top>
        <color indexed="63"/>
      </top>
      <bottom>
        <color indexed="63"/>
      </bottom>
    </border>
    <border>
      <left>
        <color indexed="63"/>
      </left>
      <right>
        <color indexed="63"/>
      </right>
      <top style="hair"/>
      <bottom style="hair"/>
    </border>
    <border>
      <left>
        <color indexed="63"/>
      </left>
      <right>
        <color indexed="63"/>
      </right>
      <top style="thin"/>
      <bottom style="thin"/>
    </border>
    <border>
      <left>
        <color indexed="63"/>
      </left>
      <right style="thin"/>
      <top style="hair"/>
      <bottom>
        <color indexed="63"/>
      </bottom>
    </border>
    <border>
      <left/>
      <right/>
      <top style="thin"/>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1" fillId="0" borderId="0">
      <alignment/>
      <protection/>
    </xf>
    <xf numFmtId="0" fontId="21"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0" applyNumberFormat="0" applyBorder="0" applyAlignment="0" applyProtection="0"/>
    <xf numFmtId="0" fontId="15" fillId="0" borderId="0">
      <alignment/>
      <protection/>
    </xf>
    <xf numFmtId="0" fontId="21" fillId="0" borderId="0">
      <alignment/>
      <protection/>
    </xf>
    <xf numFmtId="0" fontId="67" fillId="26" borderId="1" applyNumberFormat="0" applyAlignment="0" applyProtection="0"/>
    <xf numFmtId="171" fontId="8" fillId="0" borderId="0" applyFont="0" applyFill="0" applyBorder="0" applyAlignment="0" applyProtection="0"/>
    <xf numFmtId="169" fontId="8" fillId="0" borderId="0" applyFont="0" applyFill="0" applyBorder="0" applyAlignment="0" applyProtection="0"/>
    <xf numFmtId="172" fontId="0" fillId="0" borderId="0" applyFont="0" applyFill="0" applyBorder="0" applyAlignment="0" applyProtection="0"/>
    <xf numFmtId="169" fontId="21" fillId="0" borderId="0" applyFont="0" applyFill="0" applyBorder="0" applyAlignment="0" applyProtection="0"/>
    <xf numFmtId="166" fontId="1" fillId="0" borderId="0" applyFont="0" applyFill="0" applyBorder="0" applyAlignment="0" applyProtection="0"/>
    <xf numFmtId="171" fontId="8" fillId="0" borderId="0" applyFont="0" applyFill="0" applyBorder="0" applyAlignment="0" applyProtection="0"/>
    <xf numFmtId="165" fontId="21" fillId="0" borderId="0" applyFont="0" applyFill="0" applyBorder="0" applyAlignment="0" applyProtection="0"/>
    <xf numFmtId="171" fontId="21" fillId="0" borderId="0" applyFont="0" applyFill="0" applyBorder="0" applyAlignment="0" applyProtection="0"/>
    <xf numFmtId="171" fontId="8" fillId="0" borderId="0" applyFont="0" applyFill="0" applyBorder="0" applyAlignment="0" applyProtection="0"/>
    <xf numFmtId="171" fontId="21" fillId="0" borderId="0" applyFont="0" applyFill="0" applyBorder="0" applyAlignment="0" applyProtection="0"/>
    <xf numFmtId="0" fontId="8" fillId="0" borderId="0" applyFont="0" applyFill="0" applyBorder="0" applyAlignment="0" applyProtection="0"/>
    <xf numFmtId="171" fontId="13" fillId="0" borderId="0" applyFont="0" applyFill="0" applyBorder="0" applyAlignment="0" applyProtection="0"/>
    <xf numFmtId="171" fontId="2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3" fontId="2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0" fontId="68" fillId="27" borderId="2" applyNumberFormat="0" applyAlignment="0" applyProtection="0"/>
    <xf numFmtId="167" fontId="21" fillId="0" borderId="0" applyFont="0" applyFill="0" applyBorder="0" applyAlignment="0" applyProtection="0"/>
    <xf numFmtId="0" fontId="69" fillId="0" borderId="0" applyNumberFormat="0" applyFill="0" applyBorder="0" applyAlignment="0" applyProtection="0"/>
    <xf numFmtId="0" fontId="70" fillId="28"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1" applyNumberFormat="0" applyAlignment="0" applyProtection="0"/>
    <xf numFmtId="0" fontId="39" fillId="0" borderId="0">
      <alignment/>
      <protection/>
    </xf>
    <xf numFmtId="0" fontId="21" fillId="0" borderId="0">
      <alignment/>
      <protection/>
    </xf>
    <xf numFmtId="0" fontId="76" fillId="0" borderId="6" applyNumberFormat="0" applyFill="0" applyAlignment="0" applyProtection="0"/>
    <xf numFmtId="0" fontId="77" fillId="30" borderId="0" applyNumberFormat="0" applyBorder="0" applyAlignment="0" applyProtection="0"/>
    <xf numFmtId="0" fontId="23" fillId="0" borderId="0">
      <alignment/>
      <protection/>
    </xf>
    <xf numFmtId="0" fontId="23" fillId="0" borderId="0">
      <alignment/>
      <protection/>
    </xf>
    <xf numFmtId="0" fontId="8" fillId="0" borderId="0">
      <alignment/>
      <protection/>
    </xf>
    <xf numFmtId="0" fontId="21" fillId="0" borderId="0">
      <alignment/>
      <protection/>
    </xf>
    <xf numFmtId="0" fontId="21" fillId="0" borderId="0">
      <alignment/>
      <protection/>
    </xf>
    <xf numFmtId="0" fontId="22" fillId="0" borderId="0">
      <alignment/>
      <protection/>
    </xf>
    <xf numFmtId="0" fontId="38" fillId="0" borderId="0">
      <alignment/>
      <protection/>
    </xf>
    <xf numFmtId="0" fontId="38" fillId="0" borderId="0">
      <alignment/>
      <protection/>
    </xf>
    <xf numFmtId="0" fontId="38" fillId="0" borderId="0">
      <alignment/>
      <protection/>
    </xf>
    <xf numFmtId="0" fontId="8" fillId="0" borderId="0">
      <alignment/>
      <protection/>
    </xf>
    <xf numFmtId="0" fontId="38" fillId="0" borderId="0">
      <alignment/>
      <protection/>
    </xf>
    <xf numFmtId="0" fontId="0" fillId="0" borderId="0">
      <alignment/>
      <protection/>
    </xf>
    <xf numFmtId="0" fontId="21" fillId="0" borderId="0">
      <alignment/>
      <protection/>
    </xf>
    <xf numFmtId="0" fontId="13" fillId="0" borderId="0">
      <alignment/>
      <protection/>
    </xf>
    <xf numFmtId="0" fontId="13" fillId="0" borderId="0">
      <alignment/>
      <protection/>
    </xf>
    <xf numFmtId="0" fontId="8" fillId="0" borderId="0">
      <alignment/>
      <protection/>
    </xf>
    <xf numFmtId="0" fontId="7" fillId="0" borderId="0">
      <alignment/>
      <protection/>
    </xf>
    <xf numFmtId="0" fontId="21" fillId="0" borderId="0">
      <alignment/>
      <protection/>
    </xf>
    <xf numFmtId="0" fontId="0" fillId="0" borderId="0">
      <alignment/>
      <protection/>
    </xf>
    <xf numFmtId="0" fontId="12" fillId="0" borderId="0">
      <alignment/>
      <protection/>
    </xf>
    <xf numFmtId="0" fontId="21" fillId="0" borderId="0">
      <alignment/>
      <protection/>
    </xf>
    <xf numFmtId="0" fontId="8" fillId="0" borderId="0">
      <alignment/>
      <protection/>
    </xf>
    <xf numFmtId="0" fontId="41" fillId="0" borderId="0">
      <alignment/>
      <protection/>
    </xf>
    <xf numFmtId="0" fontId="21" fillId="0" borderId="0">
      <alignment/>
      <protection/>
    </xf>
    <xf numFmtId="0" fontId="7" fillId="0" borderId="0">
      <alignment/>
      <protection/>
    </xf>
    <xf numFmtId="0" fontId="8" fillId="0" borderId="0">
      <alignment/>
      <protection/>
    </xf>
    <xf numFmtId="0" fontId="7" fillId="0" borderId="0">
      <alignment/>
      <protection/>
    </xf>
    <xf numFmtId="0" fontId="21" fillId="0" borderId="0">
      <alignment/>
      <protection/>
    </xf>
    <xf numFmtId="0" fontId="21" fillId="0" borderId="0">
      <alignment/>
      <protection/>
    </xf>
    <xf numFmtId="0" fontId="1" fillId="0" borderId="0">
      <alignment/>
      <protection/>
    </xf>
    <xf numFmtId="0" fontId="0" fillId="0" borderId="0">
      <alignment/>
      <protection/>
    </xf>
    <xf numFmtId="0" fontId="0" fillId="0" borderId="0">
      <alignment/>
      <protection/>
    </xf>
    <xf numFmtId="0" fontId="15" fillId="0" borderId="0">
      <alignment/>
      <protection/>
    </xf>
    <xf numFmtId="0" fontId="8" fillId="31" borderId="7" applyNumberFormat="0" applyFont="0" applyAlignment="0" applyProtection="0"/>
    <xf numFmtId="0" fontId="78" fillId="26" borderId="8"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0" fontId="1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10" fillId="0" borderId="0">
      <alignment/>
      <protection/>
    </xf>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533">
    <xf numFmtId="0" fontId="0" fillId="0" borderId="0" xfId="0" applyAlignment="1">
      <alignment/>
    </xf>
    <xf numFmtId="3" fontId="7" fillId="32" borderId="10" xfId="0" applyNumberFormat="1" applyFont="1" applyFill="1" applyBorder="1" applyAlignment="1">
      <alignment horizontal="left" vertical="center" wrapText="1"/>
    </xf>
    <xf numFmtId="0" fontId="7" fillId="32" borderId="10" xfId="0" applyFont="1" applyFill="1" applyBorder="1" applyAlignment="1">
      <alignment horizontal="center" vertical="center" wrapText="1"/>
    </xf>
    <xf numFmtId="0" fontId="7" fillId="32" borderId="10" xfId="0" applyFont="1" applyFill="1" applyBorder="1" applyAlignment="1">
      <alignment vertical="center" wrapText="1"/>
    </xf>
    <xf numFmtId="0" fontId="5" fillId="32" borderId="10" xfId="0" applyFont="1" applyFill="1" applyBorder="1" applyAlignment="1">
      <alignment horizontal="center" vertical="center" wrapText="1"/>
    </xf>
    <xf numFmtId="0" fontId="5" fillId="32" borderId="10" xfId="0" applyFont="1" applyFill="1" applyBorder="1" applyAlignment="1">
      <alignment vertical="center" wrapText="1"/>
    </xf>
    <xf numFmtId="0" fontId="6" fillId="32" borderId="10" xfId="0" applyFont="1" applyFill="1" applyBorder="1" applyAlignment="1">
      <alignment vertical="center" wrapText="1"/>
    </xf>
    <xf numFmtId="0" fontId="11" fillId="32" borderId="0" xfId="0" applyFont="1" applyFill="1" applyAlignment="1">
      <alignment/>
    </xf>
    <xf numFmtId="0" fontId="5"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3" fontId="5" fillId="32" borderId="10" xfId="0" applyNumberFormat="1" applyFont="1" applyFill="1" applyBorder="1" applyAlignment="1">
      <alignment vertical="center" wrapText="1"/>
    </xf>
    <xf numFmtId="9" fontId="5" fillId="32" borderId="10" xfId="118" applyFont="1" applyFill="1" applyBorder="1" applyAlignment="1">
      <alignment vertical="center" wrapText="1"/>
    </xf>
    <xf numFmtId="3" fontId="7" fillId="32" borderId="10" xfId="0" applyNumberFormat="1" applyFont="1" applyFill="1" applyBorder="1" applyAlignment="1">
      <alignment vertical="center" wrapText="1"/>
    </xf>
    <xf numFmtId="9" fontId="7" fillId="32" borderId="10" xfId="118" applyFont="1" applyFill="1" applyBorder="1" applyAlignment="1">
      <alignment vertical="center" wrapText="1"/>
    </xf>
    <xf numFmtId="3" fontId="6" fillId="32" borderId="10" xfId="0" applyNumberFormat="1" applyFont="1" applyFill="1" applyBorder="1" applyAlignment="1">
      <alignment vertical="center" wrapText="1"/>
    </xf>
    <xf numFmtId="4" fontId="11" fillId="32" borderId="0" xfId="0" applyNumberFormat="1" applyFont="1" applyFill="1" applyAlignment="1">
      <alignment/>
    </xf>
    <xf numFmtId="0" fontId="5" fillId="32" borderId="12" xfId="0" applyFont="1" applyFill="1" applyBorder="1" applyAlignment="1">
      <alignment vertical="center" wrapText="1"/>
    </xf>
    <xf numFmtId="3" fontId="5" fillId="32" borderId="12" xfId="0" applyNumberFormat="1" applyFont="1" applyFill="1" applyBorder="1" applyAlignment="1">
      <alignment vertical="center" wrapText="1"/>
    </xf>
    <xf numFmtId="0" fontId="6" fillId="32" borderId="10" xfId="0" applyFont="1" applyFill="1" applyBorder="1" applyAlignment="1">
      <alignment horizontal="center" vertical="center" wrapText="1"/>
    </xf>
    <xf numFmtId="9" fontId="6" fillId="32" borderId="10" xfId="118" applyFont="1" applyFill="1" applyBorder="1" applyAlignment="1">
      <alignment vertical="center" wrapText="1"/>
    </xf>
    <xf numFmtId="0" fontId="7" fillId="32" borderId="13" xfId="0" applyFont="1" applyFill="1" applyBorder="1" applyAlignment="1">
      <alignment horizontal="center" vertical="center" wrapText="1"/>
    </xf>
    <xf numFmtId="0" fontId="11" fillId="32" borderId="0" xfId="0" applyFont="1" applyFill="1" applyAlignment="1">
      <alignment vertical="center"/>
    </xf>
    <xf numFmtId="9" fontId="5" fillId="32" borderId="12" xfId="118" applyFont="1" applyFill="1" applyBorder="1" applyAlignment="1">
      <alignment vertical="center" wrapText="1"/>
    </xf>
    <xf numFmtId="0" fontId="7" fillId="32" borderId="0" xfId="0" applyFont="1" applyFill="1" applyBorder="1" applyAlignment="1">
      <alignment vertical="center" wrapText="1"/>
    </xf>
    <xf numFmtId="0" fontId="11" fillId="32" borderId="0" xfId="0" applyFont="1" applyFill="1" applyBorder="1" applyAlignment="1">
      <alignment/>
    </xf>
    <xf numFmtId="3" fontId="7" fillId="32" borderId="10" xfId="0" applyNumberFormat="1" applyFont="1" applyFill="1" applyBorder="1" applyAlignment="1">
      <alignment horizontal="center" vertical="center"/>
    </xf>
    <xf numFmtId="0" fontId="14" fillId="32" borderId="13" xfId="0" applyFont="1" applyFill="1" applyBorder="1" applyAlignment="1">
      <alignment horizontal="center" vertical="center" wrapText="1"/>
    </xf>
    <xf numFmtId="3" fontId="11" fillId="32" borderId="0" xfId="0" applyNumberFormat="1" applyFont="1" applyFill="1" applyAlignment="1">
      <alignment/>
    </xf>
    <xf numFmtId="3" fontId="11" fillId="32" borderId="0" xfId="0" applyNumberFormat="1" applyFont="1" applyFill="1" applyAlignment="1">
      <alignment vertical="center"/>
    </xf>
    <xf numFmtId="0" fontId="25" fillId="32" borderId="0" xfId="0" applyFont="1" applyFill="1" applyAlignment="1">
      <alignment vertical="center"/>
    </xf>
    <xf numFmtId="3" fontId="7" fillId="32" borderId="13" xfId="0" applyNumberFormat="1" applyFont="1" applyFill="1" applyBorder="1" applyAlignment="1">
      <alignment horizontal="center" vertical="center" wrapText="1"/>
    </xf>
    <xf numFmtId="0" fontId="13" fillId="32" borderId="10" xfId="0" applyFont="1" applyFill="1" applyBorder="1" applyAlignment="1">
      <alignment horizontal="center" vertical="center"/>
    </xf>
    <xf numFmtId="0" fontId="13" fillId="32" borderId="10" xfId="0" applyFont="1" applyFill="1" applyBorder="1" applyAlignment="1">
      <alignment vertical="center"/>
    </xf>
    <xf numFmtId="4" fontId="13" fillId="32" borderId="10" xfId="0" applyNumberFormat="1" applyFont="1" applyFill="1" applyBorder="1" applyAlignment="1">
      <alignment horizontal="right" vertical="center" wrapText="1"/>
    </xf>
    <xf numFmtId="0" fontId="14" fillId="32" borderId="14" xfId="0" applyFont="1" applyFill="1" applyBorder="1" applyAlignment="1">
      <alignment horizontal="center" vertical="center" wrapText="1"/>
    </xf>
    <xf numFmtId="4" fontId="14" fillId="32" borderId="14" xfId="0" applyNumberFormat="1" applyFont="1" applyFill="1" applyBorder="1" applyAlignment="1">
      <alignment horizontal="right" vertical="center" wrapText="1"/>
    </xf>
    <xf numFmtId="0" fontId="14" fillId="32" borderId="14" xfId="0" applyFont="1" applyFill="1" applyBorder="1" applyAlignment="1">
      <alignment vertical="center" wrapText="1"/>
    </xf>
    <xf numFmtId="3" fontId="14" fillId="32" borderId="14" xfId="0" applyNumberFormat="1" applyFont="1" applyFill="1" applyBorder="1" applyAlignment="1">
      <alignment vertical="center" wrapText="1"/>
    </xf>
    <xf numFmtId="0" fontId="32" fillId="32" borderId="0" xfId="0" applyFont="1" applyFill="1" applyAlignment="1">
      <alignment/>
    </xf>
    <xf numFmtId="0" fontId="7" fillId="32" borderId="0" xfId="0" applyFont="1" applyFill="1" applyBorder="1" applyAlignment="1">
      <alignment horizontal="center" vertical="center" wrapText="1"/>
    </xf>
    <xf numFmtId="4" fontId="11" fillId="32" borderId="0" xfId="0" applyNumberFormat="1" applyFont="1" applyFill="1" applyBorder="1" applyAlignment="1">
      <alignment/>
    </xf>
    <xf numFmtId="4" fontId="19" fillId="32" borderId="0" xfId="0" applyNumberFormat="1" applyFont="1" applyFill="1" applyBorder="1" applyAlignment="1">
      <alignment/>
    </xf>
    <xf numFmtId="9" fontId="14" fillId="32" borderId="14" xfId="118" applyFont="1" applyFill="1" applyBorder="1" applyAlignment="1">
      <alignment horizontal="right" vertical="center" wrapText="1"/>
    </xf>
    <xf numFmtId="3" fontId="13" fillId="32" borderId="10" xfId="0" applyNumberFormat="1" applyFont="1" applyFill="1" applyBorder="1" applyAlignment="1">
      <alignment vertical="center" wrapText="1"/>
    </xf>
    <xf numFmtId="9" fontId="13" fillId="32" borderId="10" xfId="118" applyFont="1" applyFill="1" applyBorder="1" applyAlignment="1">
      <alignment horizontal="right" vertical="center" wrapText="1"/>
    </xf>
    <xf numFmtId="3" fontId="13" fillId="32" borderId="15" xfId="0" applyNumberFormat="1" applyFont="1" applyFill="1" applyBorder="1" applyAlignment="1">
      <alignment vertical="center" wrapText="1"/>
    </xf>
    <xf numFmtId="3" fontId="7" fillId="33" borderId="10" xfId="0" applyNumberFormat="1" applyFont="1" applyFill="1" applyBorder="1" applyAlignment="1">
      <alignment horizontal="right" vertical="center" wrapText="1"/>
    </xf>
    <xf numFmtId="4" fontId="14" fillId="32" borderId="13" xfId="0" applyNumberFormat="1" applyFont="1" applyFill="1" applyBorder="1" applyAlignment="1">
      <alignment horizontal="center" vertical="center" wrapText="1"/>
    </xf>
    <xf numFmtId="4" fontId="13" fillId="32" borderId="10" xfId="0" applyNumberFormat="1" applyFont="1" applyFill="1" applyBorder="1" applyAlignment="1">
      <alignment vertical="center" wrapText="1"/>
    </xf>
    <xf numFmtId="0" fontId="13" fillId="32" borderId="10" xfId="0" applyFont="1" applyFill="1" applyBorder="1" applyAlignment="1">
      <alignment vertical="center" wrapText="1"/>
    </xf>
    <xf numFmtId="4" fontId="13" fillId="32" borderId="15" xfId="0" applyNumberFormat="1" applyFont="1" applyFill="1" applyBorder="1" applyAlignment="1">
      <alignment horizontal="right" vertical="center" wrapText="1"/>
    </xf>
    <xf numFmtId="0" fontId="13" fillId="33" borderId="10" xfId="0" applyFont="1" applyFill="1" applyBorder="1" applyAlignment="1">
      <alignment vertical="center"/>
    </xf>
    <xf numFmtId="3" fontId="13" fillId="33" borderId="10" xfId="0" applyNumberFormat="1" applyFont="1" applyFill="1" applyBorder="1" applyAlignment="1">
      <alignment vertical="center" wrapText="1"/>
    </xf>
    <xf numFmtId="4" fontId="13" fillId="33" borderId="10" xfId="0" applyNumberFormat="1" applyFont="1" applyFill="1" applyBorder="1" applyAlignment="1">
      <alignment horizontal="right" vertical="center" wrapText="1"/>
    </xf>
    <xf numFmtId="9" fontId="13" fillId="33" borderId="10" xfId="118" applyFont="1" applyFill="1" applyBorder="1" applyAlignment="1">
      <alignment horizontal="right" vertical="center" wrapText="1"/>
    </xf>
    <xf numFmtId="4" fontId="7" fillId="32" borderId="0" xfId="0" applyNumberFormat="1" applyFont="1" applyFill="1" applyBorder="1" applyAlignment="1">
      <alignment vertical="center" wrapText="1"/>
    </xf>
    <xf numFmtId="0" fontId="11" fillId="32" borderId="0" xfId="0" applyFont="1" applyFill="1" applyAlignment="1">
      <alignment horizontal="center"/>
    </xf>
    <xf numFmtId="0" fontId="13" fillId="33" borderId="10" xfId="0" applyFont="1" applyFill="1" applyBorder="1" applyAlignment="1">
      <alignment horizontal="center" vertical="center"/>
    </xf>
    <xf numFmtId="0" fontId="17" fillId="32" borderId="0" xfId="0" applyFont="1" applyFill="1" applyBorder="1" applyAlignment="1">
      <alignment horizontal="center" vertical="center"/>
    </xf>
    <xf numFmtId="0" fontId="11" fillId="32" borderId="0" xfId="0" applyFont="1" applyFill="1" applyBorder="1" applyAlignment="1">
      <alignment horizontal="center"/>
    </xf>
    <xf numFmtId="0" fontId="1" fillId="33" borderId="10" xfId="0" applyFont="1" applyFill="1" applyBorder="1" applyAlignment="1">
      <alignment horizontal="center" vertical="center" wrapText="1"/>
    </xf>
    <xf numFmtId="0" fontId="1" fillId="33" borderId="10" xfId="0" applyFont="1" applyFill="1" applyBorder="1" applyAlignment="1">
      <alignment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vertical="center" wrapText="1"/>
    </xf>
    <xf numFmtId="4" fontId="1" fillId="33" borderId="10" xfId="0" applyNumberFormat="1" applyFont="1" applyFill="1" applyBorder="1" applyAlignment="1">
      <alignment vertical="center" wrapText="1"/>
    </xf>
    <xf numFmtId="4" fontId="7" fillId="33" borderId="10" xfId="0" applyNumberFormat="1" applyFont="1" applyFill="1" applyBorder="1" applyAlignment="1">
      <alignment vertical="center" wrapText="1"/>
    </xf>
    <xf numFmtId="0" fontId="1" fillId="33" borderId="0" xfId="0" applyFont="1" applyFill="1" applyAlignment="1">
      <alignment/>
    </xf>
    <xf numFmtId="0" fontId="1"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4" xfId="0" applyFont="1" applyFill="1" applyBorder="1" applyAlignment="1">
      <alignment vertical="center" wrapText="1"/>
    </xf>
    <xf numFmtId="3" fontId="2" fillId="33" borderId="14" xfId="0" applyNumberFormat="1" applyFont="1" applyFill="1" applyBorder="1" applyAlignment="1">
      <alignment horizontal="right" vertical="center" wrapText="1"/>
    </xf>
    <xf numFmtId="4" fontId="2" fillId="33" borderId="14" xfId="0" applyNumberFormat="1" applyFont="1" applyFill="1" applyBorder="1" applyAlignment="1">
      <alignment horizontal="right" vertical="center" wrapText="1"/>
    </xf>
    <xf numFmtId="9" fontId="2" fillId="33" borderId="14" xfId="118" applyFont="1" applyFill="1" applyBorder="1" applyAlignment="1">
      <alignment horizontal="righ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3" fontId="2" fillId="33" borderId="10" xfId="0" applyNumberFormat="1" applyFont="1" applyFill="1" applyBorder="1" applyAlignment="1">
      <alignment horizontal="right" vertical="center" wrapText="1"/>
    </xf>
    <xf numFmtId="4" fontId="2" fillId="33" borderId="10" xfId="0" applyNumberFormat="1" applyFont="1" applyFill="1" applyBorder="1" applyAlignment="1">
      <alignment horizontal="right" vertical="center" wrapText="1"/>
    </xf>
    <xf numFmtId="9" fontId="2" fillId="33" borderId="10" xfId="118" applyFont="1" applyFill="1" applyBorder="1" applyAlignment="1">
      <alignment horizontal="right" vertical="center" wrapText="1"/>
    </xf>
    <xf numFmtId="3" fontId="1" fillId="33" borderId="10" xfId="0" applyNumberFormat="1" applyFont="1" applyFill="1" applyBorder="1" applyAlignment="1">
      <alignment horizontal="right" vertical="center" wrapText="1"/>
    </xf>
    <xf numFmtId="4" fontId="1" fillId="33" borderId="10" xfId="0" applyNumberFormat="1" applyFont="1" applyFill="1" applyBorder="1" applyAlignment="1">
      <alignment horizontal="right" vertical="center" wrapText="1"/>
    </xf>
    <xf numFmtId="9" fontId="1" fillId="33" borderId="10" xfId="118" applyFont="1" applyFill="1" applyBorder="1" applyAlignment="1">
      <alignment horizontal="right" vertical="center" wrapText="1"/>
    </xf>
    <xf numFmtId="0" fontId="5" fillId="33" borderId="10" xfId="0" applyFont="1" applyFill="1" applyBorder="1" applyAlignment="1">
      <alignment vertical="center" wrapText="1"/>
    </xf>
    <xf numFmtId="4" fontId="5" fillId="33" borderId="10" xfId="0" applyNumberFormat="1" applyFont="1" applyFill="1" applyBorder="1" applyAlignment="1">
      <alignment horizontal="right" vertical="center" wrapText="1"/>
    </xf>
    <xf numFmtId="0" fontId="5" fillId="33" borderId="10" xfId="0" applyFont="1" applyFill="1" applyBorder="1" applyAlignment="1">
      <alignment horizontal="center" vertical="center" wrapText="1"/>
    </xf>
    <xf numFmtId="9" fontId="7" fillId="33" borderId="10" xfId="118" applyFont="1" applyFill="1" applyBorder="1" applyAlignment="1">
      <alignment horizontal="right" vertical="center" wrapText="1"/>
    </xf>
    <xf numFmtId="0" fontId="28" fillId="33" borderId="0" xfId="115" applyFont="1" applyFill="1" applyAlignment="1">
      <alignment vertical="center"/>
      <protection/>
    </xf>
    <xf numFmtId="0" fontId="5" fillId="33" borderId="12" xfId="0" applyFont="1" applyFill="1" applyBorder="1" applyAlignment="1">
      <alignment horizontal="center" vertical="center" wrapText="1"/>
    </xf>
    <xf numFmtId="0" fontId="5" fillId="33" borderId="12" xfId="0" applyFont="1" applyFill="1" applyBorder="1" applyAlignment="1">
      <alignment vertical="center" wrapText="1"/>
    </xf>
    <xf numFmtId="3" fontId="5" fillId="33" borderId="12" xfId="0" applyNumberFormat="1" applyFont="1" applyFill="1" applyBorder="1" applyAlignment="1">
      <alignment horizontal="right" vertical="center" wrapText="1"/>
    </xf>
    <xf numFmtId="9" fontId="5" fillId="33" borderId="12" xfId="118" applyFont="1" applyFill="1" applyBorder="1" applyAlignment="1">
      <alignment horizontal="right" vertical="center" wrapText="1"/>
    </xf>
    <xf numFmtId="3" fontId="5" fillId="33" borderId="10" xfId="0" applyNumberFormat="1" applyFont="1" applyFill="1" applyBorder="1" applyAlignment="1">
      <alignment horizontal="right" vertical="center" wrapText="1"/>
    </xf>
    <xf numFmtId="9" fontId="5" fillId="33" borderId="10" xfId="118" applyFont="1" applyFill="1" applyBorder="1" applyAlignment="1">
      <alignment horizontal="right" vertical="center" wrapText="1"/>
    </xf>
    <xf numFmtId="9" fontId="7" fillId="33" borderId="15" xfId="118" applyFont="1" applyFill="1" applyBorder="1" applyAlignment="1">
      <alignment horizontal="right" vertical="center" wrapText="1"/>
    </xf>
    <xf numFmtId="0" fontId="7" fillId="33" borderId="0" xfId="0" applyFont="1" applyFill="1" applyAlignment="1">
      <alignment/>
    </xf>
    <xf numFmtId="3" fontId="13" fillId="33" borderId="10" xfId="0" applyNumberFormat="1" applyFont="1" applyFill="1" applyBorder="1" applyAlignment="1">
      <alignment horizontal="right" vertical="center" wrapText="1"/>
    </xf>
    <xf numFmtId="3" fontId="14" fillId="33" borderId="10" xfId="0" applyNumberFormat="1" applyFont="1" applyFill="1" applyBorder="1" applyAlignment="1">
      <alignment horizontal="right" vertical="center" wrapText="1"/>
    </xf>
    <xf numFmtId="3" fontId="13" fillId="33" borderId="15" xfId="0" applyNumberFormat="1" applyFont="1" applyFill="1" applyBorder="1" applyAlignment="1">
      <alignment horizontal="right" vertical="center" wrapText="1"/>
    </xf>
    <xf numFmtId="3" fontId="34" fillId="33" borderId="10" xfId="0" applyNumberFormat="1" applyFont="1" applyFill="1" applyBorder="1" applyAlignment="1">
      <alignment vertical="center" wrapText="1"/>
    </xf>
    <xf numFmtId="9" fontId="34" fillId="33" borderId="10" xfId="118" applyNumberFormat="1"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2" xfId="0" applyFont="1" applyFill="1" applyBorder="1" applyAlignment="1">
      <alignment vertical="center" wrapText="1"/>
    </xf>
    <xf numFmtId="3" fontId="14" fillId="33" borderId="12" xfId="0" applyNumberFormat="1" applyFont="1" applyFill="1" applyBorder="1" applyAlignment="1">
      <alignment horizontal="right" vertical="center" wrapText="1"/>
    </xf>
    <xf numFmtId="9" fontId="14" fillId="33" borderId="12" xfId="118" applyFont="1" applyFill="1" applyBorder="1" applyAlignment="1">
      <alignment horizontal="center" vertical="center" wrapText="1"/>
    </xf>
    <xf numFmtId="0" fontId="13" fillId="33" borderId="10" xfId="0" applyFont="1" applyFill="1" applyBorder="1" applyAlignment="1">
      <alignment horizontal="center" vertical="center" wrapText="1"/>
    </xf>
    <xf numFmtId="9" fontId="13" fillId="33" borderId="10" xfId="118"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9" fontId="14" fillId="33" borderId="10" xfId="118" applyFont="1" applyFill="1" applyBorder="1" applyAlignment="1">
      <alignment horizontal="center" vertical="center" wrapText="1"/>
    </xf>
    <xf numFmtId="0" fontId="7" fillId="33" borderId="0" xfId="0" applyFont="1" applyFill="1" applyAlignment="1">
      <alignment horizontal="justify" vertical="center"/>
    </xf>
    <xf numFmtId="4" fontId="14" fillId="33" borderId="14" xfId="0" applyNumberFormat="1" applyFont="1" applyFill="1" applyBorder="1" applyAlignment="1">
      <alignment vertical="center" wrapText="1"/>
    </xf>
    <xf numFmtId="0" fontId="14" fillId="33" borderId="13" xfId="0" applyFont="1" applyFill="1" applyBorder="1" applyAlignment="1">
      <alignment horizontal="center" vertical="center" wrapText="1"/>
    </xf>
    <xf numFmtId="3" fontId="5" fillId="33" borderId="12" xfId="0" applyNumberFormat="1" applyFont="1" applyFill="1" applyBorder="1" applyAlignment="1">
      <alignment horizontal="center" vertical="center" wrapText="1"/>
    </xf>
    <xf numFmtId="3" fontId="5" fillId="33" borderId="12" xfId="0" applyNumberFormat="1" applyFont="1" applyFill="1" applyBorder="1" applyAlignment="1">
      <alignment vertical="center" wrapText="1"/>
    </xf>
    <xf numFmtId="180" fontId="5" fillId="33" borderId="12" xfId="0" applyNumberFormat="1" applyFont="1" applyFill="1" applyBorder="1" applyAlignment="1">
      <alignment horizontal="right" vertical="center" wrapText="1"/>
    </xf>
    <xf numFmtId="177" fontId="5" fillId="33" borderId="0" xfId="0" applyNumberFormat="1" applyFont="1" applyFill="1" applyAlignment="1">
      <alignment/>
    </xf>
    <xf numFmtId="3" fontId="5" fillId="33" borderId="10" xfId="0" applyNumberFormat="1" applyFont="1" applyFill="1" applyBorder="1" applyAlignment="1">
      <alignment horizontal="center" vertical="center" wrapText="1"/>
    </xf>
    <xf numFmtId="3" fontId="5" fillId="33" borderId="10" xfId="0" applyNumberFormat="1" applyFont="1" applyFill="1" applyBorder="1" applyAlignment="1">
      <alignment vertical="center" wrapText="1"/>
    </xf>
    <xf numFmtId="180" fontId="5" fillId="33" borderId="10" xfId="0" applyNumberFormat="1" applyFont="1" applyFill="1" applyBorder="1" applyAlignment="1">
      <alignment horizontal="right" vertical="center" wrapText="1"/>
    </xf>
    <xf numFmtId="3" fontId="7" fillId="33" borderId="10" xfId="0" applyNumberFormat="1" applyFont="1" applyFill="1" applyBorder="1" applyAlignment="1">
      <alignment vertical="center" wrapText="1"/>
    </xf>
    <xf numFmtId="180" fontId="7" fillId="33" borderId="10" xfId="115" applyNumberFormat="1" applyFont="1" applyFill="1" applyBorder="1" applyAlignment="1">
      <alignment horizontal="right" vertical="center" wrapText="1"/>
      <protection/>
    </xf>
    <xf numFmtId="0" fontId="7" fillId="33" borderId="10" xfId="115" applyFont="1" applyFill="1" applyBorder="1" applyAlignment="1">
      <alignment vertical="center" wrapText="1"/>
      <protection/>
    </xf>
    <xf numFmtId="3" fontId="7" fillId="33" borderId="10" xfId="115" applyNumberFormat="1" applyFont="1" applyFill="1" applyBorder="1" applyAlignment="1">
      <alignment horizontal="right" vertical="center" wrapText="1"/>
      <protection/>
    </xf>
    <xf numFmtId="3" fontId="7" fillId="33" borderId="10" xfId="0" applyNumberFormat="1" applyFont="1" applyFill="1" applyBorder="1" applyAlignment="1">
      <alignment horizontal="center" vertical="center" wrapText="1"/>
    </xf>
    <xf numFmtId="3" fontId="7" fillId="33" borderId="10" xfId="0" applyNumberFormat="1" applyFont="1" applyFill="1" applyBorder="1" applyAlignment="1" quotePrefix="1">
      <alignment vertical="center" wrapText="1"/>
    </xf>
    <xf numFmtId="180" fontId="5" fillId="33" borderId="10" xfId="115" applyNumberFormat="1" applyFont="1" applyFill="1" applyBorder="1" applyAlignment="1">
      <alignment horizontal="right" vertical="center" wrapText="1"/>
      <protection/>
    </xf>
    <xf numFmtId="0" fontId="7" fillId="33" borderId="0" xfId="0" applyFont="1" applyFill="1" applyAlignment="1">
      <alignment horizontal="center" vertical="center"/>
    </xf>
    <xf numFmtId="0" fontId="11" fillId="33" borderId="0" xfId="0" applyFont="1" applyFill="1" applyAlignment="1">
      <alignment vertical="center"/>
    </xf>
    <xf numFmtId="4" fontId="11" fillId="33" borderId="0" xfId="0" applyNumberFormat="1" applyFont="1" applyFill="1" applyAlignment="1">
      <alignment vertical="center"/>
    </xf>
    <xf numFmtId="4" fontId="13" fillId="33" borderId="15" xfId="0" applyNumberFormat="1" applyFont="1" applyFill="1" applyBorder="1" applyAlignment="1">
      <alignment horizontal="right" vertical="center" wrapText="1"/>
    </xf>
    <xf numFmtId="3" fontId="33" fillId="33" borderId="10" xfId="46" applyNumberFormat="1" applyFont="1" applyFill="1" applyBorder="1" applyAlignment="1">
      <alignment vertical="center" wrapText="1"/>
    </xf>
    <xf numFmtId="0" fontId="13" fillId="33" borderId="10" xfId="0" applyFont="1" applyFill="1" applyBorder="1" applyAlignment="1">
      <alignment vertical="center" wrapText="1"/>
    </xf>
    <xf numFmtId="0" fontId="13" fillId="32" borderId="15" xfId="0" applyFont="1" applyFill="1" applyBorder="1" applyAlignment="1">
      <alignment horizontal="center" vertical="center"/>
    </xf>
    <xf numFmtId="0" fontId="13" fillId="32" borderId="15" xfId="0" applyFont="1" applyFill="1" applyBorder="1" applyAlignment="1">
      <alignment vertical="center"/>
    </xf>
    <xf numFmtId="4" fontId="13" fillId="32" borderId="15" xfId="0" applyNumberFormat="1" applyFont="1" applyFill="1" applyBorder="1" applyAlignment="1">
      <alignment vertical="center" wrapText="1"/>
    </xf>
    <xf numFmtId="0" fontId="33" fillId="32" borderId="16" xfId="0" applyFont="1" applyFill="1" applyBorder="1" applyAlignment="1">
      <alignment horizontal="center" vertical="center" wrapText="1"/>
    </xf>
    <xf numFmtId="3" fontId="33" fillId="32" borderId="16" xfId="0" applyNumberFormat="1" applyFont="1" applyFill="1" applyBorder="1" applyAlignment="1">
      <alignment horizontal="center" vertical="center" wrapText="1"/>
    </xf>
    <xf numFmtId="0" fontId="26" fillId="32" borderId="0" xfId="0" applyFont="1" applyFill="1" applyBorder="1" applyAlignment="1">
      <alignment/>
    </xf>
    <xf numFmtId="0" fontId="11" fillId="33" borderId="0" xfId="0" applyFont="1" applyFill="1" applyBorder="1" applyAlignment="1">
      <alignment/>
    </xf>
    <xf numFmtId="3" fontId="13" fillId="32" borderId="0" xfId="0" applyNumberFormat="1" applyFont="1" applyFill="1" applyBorder="1" applyAlignment="1">
      <alignment vertical="center" wrapText="1"/>
    </xf>
    <xf numFmtId="4" fontId="13" fillId="32" borderId="0" xfId="0" applyNumberFormat="1" applyFont="1" applyFill="1" applyBorder="1" applyAlignment="1">
      <alignment horizontal="right" vertical="center" wrapText="1"/>
    </xf>
    <xf numFmtId="0" fontId="13" fillId="32" borderId="0" xfId="0" applyFont="1" applyFill="1" applyBorder="1" applyAlignment="1">
      <alignment horizontal="center" vertical="center" wrapText="1"/>
    </xf>
    <xf numFmtId="0" fontId="13" fillId="32" borderId="0" xfId="0" applyFont="1" applyFill="1" applyBorder="1" applyAlignment="1">
      <alignment vertical="center" wrapText="1"/>
    </xf>
    <xf numFmtId="0" fontId="13" fillId="32" borderId="0" xfId="0" applyFont="1" applyFill="1" applyBorder="1" applyAlignment="1">
      <alignment horizontal="right" vertical="center" wrapText="1"/>
    </xf>
    <xf numFmtId="3" fontId="13" fillId="33" borderId="15" xfId="0" applyNumberFormat="1" applyFont="1" applyFill="1" applyBorder="1" applyAlignment="1">
      <alignment vertical="center" wrapText="1"/>
    </xf>
    <xf numFmtId="9" fontId="13" fillId="32" borderId="15" xfId="118" applyFont="1" applyFill="1" applyBorder="1" applyAlignment="1">
      <alignment horizontal="right" vertical="center" wrapText="1"/>
    </xf>
    <xf numFmtId="9" fontId="13" fillId="33" borderId="15" xfId="118" applyFont="1" applyFill="1" applyBorder="1" applyAlignment="1">
      <alignment horizontal="right" vertical="center" wrapText="1"/>
    </xf>
    <xf numFmtId="4" fontId="13" fillId="33" borderId="10" xfId="0" applyNumberFormat="1" applyFont="1" applyFill="1" applyBorder="1" applyAlignment="1">
      <alignment vertical="center" wrapText="1"/>
    </xf>
    <xf numFmtId="4" fontId="33" fillId="32" borderId="0" xfId="0" applyNumberFormat="1" applyFont="1" applyFill="1" applyBorder="1" applyAlignment="1">
      <alignment/>
    </xf>
    <xf numFmtId="4" fontId="5" fillId="32" borderId="0" xfId="0" applyNumberFormat="1" applyFont="1" applyFill="1" applyAlignment="1">
      <alignment/>
    </xf>
    <xf numFmtId="0" fontId="26" fillId="33" borderId="0" xfId="0" applyFont="1" applyFill="1" applyAlignment="1">
      <alignment vertical="center"/>
    </xf>
    <xf numFmtId="0" fontId="27" fillId="33" borderId="0" xfId="0" applyFont="1" applyFill="1" applyAlignment="1">
      <alignment vertical="center"/>
    </xf>
    <xf numFmtId="0" fontId="13" fillId="33" borderId="15" xfId="0" applyFont="1" applyFill="1" applyBorder="1" applyAlignment="1">
      <alignment horizontal="center" vertical="center"/>
    </xf>
    <xf numFmtId="0" fontId="13" fillId="33" borderId="15" xfId="0" applyFont="1" applyFill="1" applyBorder="1" applyAlignment="1">
      <alignment vertical="center"/>
    </xf>
    <xf numFmtId="9" fontId="13" fillId="33" borderId="15" xfId="118" applyFont="1" applyFill="1" applyBorder="1" applyAlignment="1">
      <alignment horizontal="center" vertical="center" wrapText="1"/>
    </xf>
    <xf numFmtId="0" fontId="64" fillId="33" borderId="0" xfId="0" applyFont="1" applyFill="1" applyAlignment="1">
      <alignment/>
    </xf>
    <xf numFmtId="0" fontId="1" fillId="33" borderId="15" xfId="0" applyFont="1" applyFill="1" applyBorder="1" applyAlignment="1">
      <alignment horizontal="center" vertical="center" wrapText="1"/>
    </xf>
    <xf numFmtId="0" fontId="1" fillId="33" borderId="15" xfId="0" applyFont="1" applyFill="1" applyBorder="1" applyAlignment="1">
      <alignment vertical="center" wrapText="1"/>
    </xf>
    <xf numFmtId="3" fontId="1" fillId="33" borderId="13" xfId="0" applyNumberFormat="1" applyFont="1" applyFill="1" applyBorder="1" applyAlignment="1">
      <alignment horizontal="center" vertical="center" wrapText="1"/>
    </xf>
    <xf numFmtId="180" fontId="7" fillId="33" borderId="10" xfId="0" applyNumberFormat="1" applyFont="1" applyFill="1" applyBorder="1" applyAlignment="1">
      <alignment horizontal="right" vertical="center" wrapText="1"/>
    </xf>
    <xf numFmtId="176" fontId="11" fillId="32" borderId="0" xfId="0" applyNumberFormat="1" applyFont="1" applyFill="1" applyAlignment="1">
      <alignment vertical="center"/>
    </xf>
    <xf numFmtId="9" fontId="5" fillId="33" borderId="10" xfId="118" applyFont="1" applyFill="1" applyBorder="1" applyAlignment="1">
      <alignment vertical="center" wrapText="1"/>
    </xf>
    <xf numFmtId="3" fontId="7" fillId="33" borderId="10" xfId="0" applyNumberFormat="1" applyFont="1" applyFill="1" applyBorder="1" applyAlignment="1">
      <alignment horizontal="center" vertical="center"/>
    </xf>
    <xf numFmtId="3" fontId="7" fillId="33" borderId="10" xfId="0" applyNumberFormat="1" applyFont="1" applyFill="1" applyBorder="1" applyAlignment="1">
      <alignment horizontal="left" vertical="center"/>
    </xf>
    <xf numFmtId="9" fontId="7" fillId="33" borderId="10" xfId="118" applyFont="1" applyFill="1" applyBorder="1" applyAlignment="1">
      <alignment vertical="center" wrapText="1"/>
    </xf>
    <xf numFmtId="180" fontId="7" fillId="33" borderId="10" xfId="0" applyNumberFormat="1" applyFont="1" applyFill="1" applyBorder="1" applyAlignment="1">
      <alignment horizontal="left" vertical="center" wrapText="1"/>
    </xf>
    <xf numFmtId="3" fontId="7" fillId="33" borderId="17" xfId="0" applyNumberFormat="1" applyFont="1" applyFill="1" applyBorder="1" applyAlignment="1">
      <alignment vertical="center" wrapText="1"/>
    </xf>
    <xf numFmtId="3" fontId="7" fillId="33" borderId="10" xfId="0" applyNumberFormat="1" applyFont="1" applyFill="1" applyBorder="1" applyAlignment="1">
      <alignment horizontal="left" vertical="center" wrapText="1"/>
    </xf>
    <xf numFmtId="9" fontId="7" fillId="33" borderId="17" xfId="118" applyFont="1" applyFill="1" applyBorder="1" applyAlignment="1">
      <alignment vertical="center" wrapText="1"/>
    </xf>
    <xf numFmtId="3" fontId="7" fillId="33" borderId="10" xfId="0" applyNumberFormat="1" applyFont="1" applyFill="1" applyBorder="1" applyAlignment="1">
      <alignment vertical="center"/>
    </xf>
    <xf numFmtId="177" fontId="11" fillId="32" borderId="0" xfId="0" applyNumberFormat="1" applyFont="1" applyFill="1" applyAlignment="1">
      <alignment vertical="center"/>
    </xf>
    <xf numFmtId="0" fontId="5" fillId="33" borderId="18" xfId="0" applyFont="1" applyFill="1" applyBorder="1" applyAlignment="1">
      <alignment horizontal="center" vertical="center" wrapText="1"/>
    </xf>
    <xf numFmtId="0" fontId="5" fillId="33" borderId="0" xfId="0" applyFont="1" applyFill="1" applyAlignment="1">
      <alignment vertical="center"/>
    </xf>
    <xf numFmtId="0" fontId="5" fillId="33" borderId="18" xfId="0" applyFont="1" applyFill="1" applyBorder="1" applyAlignment="1">
      <alignment horizontal="left" vertical="center" wrapText="1"/>
    </xf>
    <xf numFmtId="3" fontId="5" fillId="33" borderId="18" xfId="0" applyNumberFormat="1" applyFont="1" applyFill="1" applyBorder="1" applyAlignment="1">
      <alignment horizontal="right" vertical="center" wrapText="1"/>
    </xf>
    <xf numFmtId="177" fontId="5" fillId="33" borderId="0" xfId="0" applyNumberFormat="1" applyFont="1" applyFill="1" applyAlignment="1">
      <alignment vertical="center"/>
    </xf>
    <xf numFmtId="186" fontId="5" fillId="33" borderId="0" xfId="0" applyNumberFormat="1" applyFont="1" applyFill="1" applyAlignment="1">
      <alignment vertical="center"/>
    </xf>
    <xf numFmtId="0" fontId="11" fillId="32" borderId="0" xfId="0" applyFont="1" applyFill="1" applyAlignment="1">
      <alignment vertical="center" wrapText="1"/>
    </xf>
    <xf numFmtId="9" fontId="33" fillId="33" borderId="10" xfId="118" applyNumberFormat="1" applyFont="1" applyFill="1" applyBorder="1" applyAlignment="1">
      <alignment vertical="center"/>
    </xf>
    <xf numFmtId="3" fontId="33" fillId="33" borderId="0" xfId="0" applyNumberFormat="1" applyFont="1" applyFill="1" applyAlignment="1">
      <alignment vertical="center"/>
    </xf>
    <xf numFmtId="0" fontId="33" fillId="33" borderId="0" xfId="0" applyFont="1" applyFill="1" applyAlignment="1">
      <alignment vertical="center" wrapText="1"/>
    </xf>
    <xf numFmtId="9" fontId="33" fillId="33" borderId="0" xfId="0" applyNumberFormat="1" applyFont="1" applyFill="1" applyAlignment="1">
      <alignment vertical="center"/>
    </xf>
    <xf numFmtId="177" fontId="34" fillId="33" borderId="12" xfId="0" applyNumberFormat="1" applyFont="1" applyFill="1" applyBorder="1" applyAlignment="1">
      <alignment vertical="center" wrapText="1"/>
    </xf>
    <xf numFmtId="177" fontId="34" fillId="33" borderId="10" xfId="0" applyNumberFormat="1" applyFont="1" applyFill="1" applyBorder="1" applyAlignment="1">
      <alignment vertical="center" wrapText="1"/>
    </xf>
    <xf numFmtId="177" fontId="33" fillId="33" borderId="10" xfId="0" applyNumberFormat="1" applyFont="1" applyFill="1" applyBorder="1" applyAlignment="1">
      <alignment horizontal="right" vertical="center" wrapText="1"/>
    </xf>
    <xf numFmtId="177" fontId="33" fillId="33" borderId="10" xfId="46" applyNumberFormat="1" applyFont="1" applyFill="1" applyBorder="1" applyAlignment="1">
      <alignment vertical="center"/>
    </xf>
    <xf numFmtId="177" fontId="33" fillId="33" borderId="0" xfId="0" applyNumberFormat="1" applyFont="1" applyFill="1" applyAlignment="1">
      <alignment vertical="center"/>
    </xf>
    <xf numFmtId="0" fontId="33" fillId="33" borderId="0" xfId="0" applyFont="1" applyFill="1" applyAlignment="1">
      <alignment vertical="center"/>
    </xf>
    <xf numFmtId="0" fontId="33" fillId="33" borderId="0" xfId="0" applyFont="1" applyFill="1" applyAlignment="1">
      <alignment horizontal="center" vertical="center"/>
    </xf>
    <xf numFmtId="0" fontId="34" fillId="33" borderId="0" xfId="0" applyFont="1" applyFill="1" applyAlignment="1">
      <alignment vertical="center"/>
    </xf>
    <xf numFmtId="0" fontId="43" fillId="33" borderId="0" xfId="0" applyFont="1" applyFill="1" applyAlignment="1">
      <alignment horizontal="right" vertical="center"/>
    </xf>
    <xf numFmtId="177" fontId="33" fillId="33" borderId="10" xfId="46" applyNumberFormat="1" applyFont="1" applyFill="1" applyBorder="1" applyAlignment="1">
      <alignment horizontal="right" vertical="center"/>
    </xf>
    <xf numFmtId="0" fontId="34" fillId="33" borderId="19" xfId="0" applyFont="1" applyFill="1" applyBorder="1" applyAlignment="1">
      <alignment vertical="center"/>
    </xf>
    <xf numFmtId="0" fontId="44" fillId="33" borderId="0" xfId="0" applyFont="1" applyFill="1" applyAlignment="1">
      <alignment vertical="center"/>
    </xf>
    <xf numFmtId="0" fontId="5" fillId="33" borderId="13" xfId="0" applyFont="1" applyFill="1" applyBorder="1" applyAlignment="1">
      <alignment horizontal="center" vertical="center" wrapText="1"/>
    </xf>
    <xf numFmtId="0" fontId="16" fillId="33" borderId="0" xfId="115" applyFont="1" applyFill="1" applyAlignment="1">
      <alignment horizontal="center" vertical="center"/>
      <protection/>
    </xf>
    <xf numFmtId="0" fontId="42" fillId="33" borderId="0" xfId="115" applyFont="1" applyFill="1" applyAlignment="1">
      <alignment horizontal="center" vertical="center"/>
      <protection/>
    </xf>
    <xf numFmtId="4" fontId="44" fillId="33" borderId="0" xfId="0" applyNumberFormat="1" applyFont="1" applyFill="1" applyAlignment="1">
      <alignment vertical="center"/>
    </xf>
    <xf numFmtId="4" fontId="33" fillId="33" borderId="10" xfId="46" applyNumberFormat="1" applyFont="1" applyFill="1" applyBorder="1" applyAlignment="1">
      <alignment vertical="center"/>
    </xf>
    <xf numFmtId="4" fontId="33" fillId="33" borderId="10" xfId="0" applyNumberFormat="1" applyFont="1" applyFill="1" applyBorder="1" applyAlignment="1">
      <alignment horizontal="right" vertical="center"/>
    </xf>
    <xf numFmtId="4" fontId="33" fillId="33" borderId="0" xfId="0" applyNumberFormat="1" applyFont="1" applyFill="1" applyAlignment="1">
      <alignment vertical="center"/>
    </xf>
    <xf numFmtId="3" fontId="44" fillId="33" borderId="0" xfId="0" applyNumberFormat="1" applyFont="1" applyFill="1" applyAlignment="1">
      <alignment vertical="center"/>
    </xf>
    <xf numFmtId="3" fontId="42" fillId="33" borderId="0" xfId="115" applyNumberFormat="1" applyFont="1" applyFill="1" applyAlignment="1">
      <alignment horizontal="center" vertical="center"/>
      <protection/>
    </xf>
    <xf numFmtId="3" fontId="64" fillId="33" borderId="0" xfId="0" applyNumberFormat="1" applyFont="1" applyFill="1" applyAlignment="1">
      <alignment/>
    </xf>
    <xf numFmtId="4" fontId="64" fillId="33" borderId="0" xfId="0" applyNumberFormat="1" applyFont="1" applyFill="1" applyAlignment="1">
      <alignment/>
    </xf>
    <xf numFmtId="4" fontId="45" fillId="33" borderId="0" xfId="0" applyNumberFormat="1" applyFont="1" applyFill="1" applyAlignment="1">
      <alignment/>
    </xf>
    <xf numFmtId="0" fontId="45" fillId="33" borderId="0" xfId="0" applyFont="1" applyFill="1" applyAlignment="1">
      <alignment/>
    </xf>
    <xf numFmtId="4" fontId="46" fillId="33" borderId="0" xfId="0" applyNumberFormat="1" applyFont="1" applyFill="1" applyAlignment="1">
      <alignment/>
    </xf>
    <xf numFmtId="3" fontId="45" fillId="33" borderId="0" xfId="0" applyNumberFormat="1" applyFont="1" applyFill="1" applyAlignment="1">
      <alignment/>
    </xf>
    <xf numFmtId="9" fontId="45" fillId="33" borderId="0" xfId="118" applyFont="1" applyFill="1" applyAlignment="1">
      <alignment/>
    </xf>
    <xf numFmtId="0" fontId="2" fillId="33" borderId="0" xfId="0" applyFont="1" applyFill="1" applyAlignment="1">
      <alignment/>
    </xf>
    <xf numFmtId="0" fontId="44" fillId="33" borderId="0" xfId="0" applyFont="1" applyFill="1" applyAlignment="1">
      <alignment/>
    </xf>
    <xf numFmtId="0" fontId="82" fillId="33" borderId="0" xfId="0" applyFont="1" applyFill="1" applyAlignment="1">
      <alignment/>
    </xf>
    <xf numFmtId="3" fontId="82" fillId="33" borderId="0" xfId="0" applyNumberFormat="1" applyFont="1" applyFill="1" applyAlignment="1">
      <alignment/>
    </xf>
    <xf numFmtId="0" fontId="20" fillId="33" borderId="0" xfId="0" applyFont="1" applyFill="1" applyAlignment="1">
      <alignment horizontal="right" vertical="center"/>
    </xf>
    <xf numFmtId="0" fontId="42" fillId="33" borderId="0" xfId="0" applyFont="1" applyFill="1" applyAlignment="1">
      <alignment horizontal="right" vertical="center"/>
    </xf>
    <xf numFmtId="0" fontId="7" fillId="33" borderId="0" xfId="0" applyFont="1" applyFill="1" applyAlignment="1">
      <alignment horizontal="center"/>
    </xf>
    <xf numFmtId="0" fontId="7" fillId="33" borderId="0" xfId="0" applyFont="1" applyFill="1" applyAlignment="1">
      <alignment horizontal="right"/>
    </xf>
    <xf numFmtId="0" fontId="5" fillId="33" borderId="0" xfId="0" applyFont="1" applyFill="1" applyAlignment="1">
      <alignment horizontal="center"/>
    </xf>
    <xf numFmtId="0" fontId="5" fillId="33" borderId="0" xfId="0" applyFont="1" applyFill="1" applyAlignment="1">
      <alignment/>
    </xf>
    <xf numFmtId="0" fontId="44" fillId="33" borderId="0" xfId="0" applyFont="1" applyFill="1" applyAlignment="1">
      <alignment horizontal="center"/>
    </xf>
    <xf numFmtId="0" fontId="44" fillId="33" borderId="0" xfId="0" applyFont="1" applyFill="1" applyAlignment="1">
      <alignment horizontal="right"/>
    </xf>
    <xf numFmtId="0" fontId="42" fillId="33" borderId="0" xfId="0" applyFont="1" applyFill="1" applyAlignment="1">
      <alignment/>
    </xf>
    <xf numFmtId="3" fontId="5" fillId="32" borderId="10" xfId="0" applyNumberFormat="1" applyFont="1" applyFill="1" applyBorder="1" applyAlignment="1">
      <alignment horizontal="left" vertical="center" wrapText="1"/>
    </xf>
    <xf numFmtId="3" fontId="5" fillId="32" borderId="10" xfId="0" applyNumberFormat="1" applyFont="1" applyFill="1" applyBorder="1" applyAlignment="1">
      <alignment horizontal="center" vertical="center"/>
    </xf>
    <xf numFmtId="0" fontId="7" fillId="33" borderId="0" xfId="0" applyFont="1" applyFill="1" applyAlignment="1">
      <alignment vertical="center"/>
    </xf>
    <xf numFmtId="3" fontId="5" fillId="33" borderId="10" xfId="0" applyNumberFormat="1" applyFont="1" applyFill="1" applyBorder="1" applyAlignment="1">
      <alignment horizontal="center" vertical="center"/>
    </xf>
    <xf numFmtId="3" fontId="5" fillId="33" borderId="10" xfId="0" applyNumberFormat="1" applyFont="1" applyFill="1" applyBorder="1" applyAlignment="1">
      <alignment vertical="center"/>
    </xf>
    <xf numFmtId="4" fontId="7" fillId="33" borderId="0" xfId="0" applyNumberFormat="1" applyFont="1" applyFill="1" applyAlignment="1">
      <alignment vertical="center"/>
    </xf>
    <xf numFmtId="0" fontId="7" fillId="33" borderId="13" xfId="0" applyFont="1" applyFill="1" applyBorder="1" applyAlignment="1">
      <alignment horizontal="center" vertical="center" wrapText="1"/>
    </xf>
    <xf numFmtId="177" fontId="7" fillId="33" borderId="0" xfId="0" applyNumberFormat="1" applyFont="1" applyFill="1" applyAlignment="1">
      <alignment vertical="center"/>
    </xf>
    <xf numFmtId="3" fontId="5" fillId="33" borderId="0" xfId="0" applyNumberFormat="1" applyFont="1" applyFill="1" applyAlignment="1">
      <alignment vertical="center"/>
    </xf>
    <xf numFmtId="3" fontId="7" fillId="33" borderId="0" xfId="0" applyNumberFormat="1" applyFont="1" applyFill="1" applyAlignment="1">
      <alignment vertical="center"/>
    </xf>
    <xf numFmtId="4" fontId="33" fillId="33" borderId="10" xfId="0" applyNumberFormat="1" applyFont="1" applyFill="1" applyBorder="1" applyAlignment="1">
      <alignment horizontal="right" vertical="center" wrapText="1"/>
    </xf>
    <xf numFmtId="4" fontId="33" fillId="33" borderId="10" xfId="46" applyNumberFormat="1" applyFont="1" applyFill="1" applyBorder="1" applyAlignment="1">
      <alignment horizontal="right" vertical="center"/>
    </xf>
    <xf numFmtId="9" fontId="34" fillId="33" borderId="10" xfId="118" applyNumberFormat="1" applyFont="1" applyFill="1" applyBorder="1" applyAlignment="1">
      <alignment horizontal="right" vertical="center" wrapText="1"/>
    </xf>
    <xf numFmtId="9" fontId="33" fillId="33" borderId="10" xfId="118" applyNumberFormat="1" applyFont="1" applyFill="1" applyBorder="1" applyAlignment="1">
      <alignment horizontal="right" vertical="center"/>
    </xf>
    <xf numFmtId="9" fontId="33" fillId="33" borderId="10" xfId="0" applyNumberFormat="1" applyFont="1" applyFill="1" applyBorder="1" applyAlignment="1">
      <alignment horizontal="right" vertical="center"/>
    </xf>
    <xf numFmtId="9" fontId="33" fillId="33" borderId="0" xfId="0" applyNumberFormat="1" applyFont="1" applyFill="1" applyAlignment="1">
      <alignment horizontal="right" vertical="center"/>
    </xf>
    <xf numFmtId="0" fontId="33" fillId="33" borderId="0" xfId="0" applyFont="1" applyFill="1" applyBorder="1" applyAlignment="1">
      <alignment vertical="center"/>
    </xf>
    <xf numFmtId="0" fontId="44" fillId="33" borderId="0" xfId="0" applyFont="1" applyFill="1" applyBorder="1" applyAlignment="1">
      <alignment vertical="center"/>
    </xf>
    <xf numFmtId="0" fontId="33" fillId="33" borderId="0" xfId="0" applyFont="1" applyFill="1" applyBorder="1" applyAlignment="1">
      <alignment horizontal="center" vertical="center"/>
    </xf>
    <xf numFmtId="0" fontId="34" fillId="33" borderId="0" xfId="0" applyFont="1" applyFill="1" applyBorder="1" applyAlignment="1">
      <alignment vertical="center"/>
    </xf>
    <xf numFmtId="0" fontId="43" fillId="33" borderId="0" xfId="0" applyFont="1" applyFill="1" applyBorder="1" applyAlignment="1">
      <alignment horizontal="right" vertical="center"/>
    </xf>
    <xf numFmtId="177" fontId="33" fillId="33" borderId="0" xfId="0" applyNumberFormat="1" applyFont="1" applyFill="1" applyBorder="1" applyAlignment="1">
      <alignment vertical="center"/>
    </xf>
    <xf numFmtId="0" fontId="44" fillId="33" borderId="0" xfId="0" applyFont="1" applyFill="1" applyAlignment="1">
      <alignment vertical="center" wrapText="1"/>
    </xf>
    <xf numFmtId="4" fontId="18" fillId="33" borderId="0" xfId="0" applyNumberFormat="1" applyFont="1" applyFill="1" applyAlignment="1">
      <alignment vertical="center"/>
    </xf>
    <xf numFmtId="9" fontId="18" fillId="33" borderId="0" xfId="0" applyNumberFormat="1" applyFont="1" applyFill="1" applyAlignment="1">
      <alignment horizontal="right" vertical="center"/>
    </xf>
    <xf numFmtId="177" fontId="18" fillId="33" borderId="0" xfId="0" applyNumberFormat="1" applyFont="1" applyFill="1" applyAlignment="1">
      <alignment vertical="center"/>
    </xf>
    <xf numFmtId="9" fontId="42" fillId="33" borderId="0" xfId="0" applyNumberFormat="1" applyFont="1" applyFill="1" applyAlignment="1">
      <alignment horizontal="right" vertical="center" wrapText="1"/>
    </xf>
    <xf numFmtId="9" fontId="18" fillId="33" borderId="0" xfId="0" applyNumberFormat="1" applyFont="1" applyFill="1" applyAlignment="1">
      <alignment horizontal="right" vertical="center" wrapText="1"/>
    </xf>
    <xf numFmtId="177" fontId="18" fillId="33" borderId="0" xfId="0" applyNumberFormat="1" applyFont="1" applyFill="1" applyAlignment="1">
      <alignment horizontal="center" vertical="center" wrapText="1"/>
    </xf>
    <xf numFmtId="0" fontId="14" fillId="33" borderId="13" xfId="0" applyFont="1" applyFill="1" applyBorder="1" applyAlignment="1">
      <alignment horizontal="center" vertical="center" wrapText="1"/>
    </xf>
    <xf numFmtId="0" fontId="28" fillId="33" borderId="0" xfId="115" applyFont="1" applyFill="1" applyAlignment="1">
      <alignment horizontal="center" vertical="center"/>
      <protection/>
    </xf>
    <xf numFmtId="9" fontId="36" fillId="33" borderId="0" xfId="0" applyNumberFormat="1" applyFont="1" applyFill="1" applyBorder="1" applyAlignment="1">
      <alignment vertical="center" wrapText="1"/>
    </xf>
    <xf numFmtId="0" fontId="40" fillId="33" borderId="0" xfId="0" applyFont="1" applyFill="1" applyAlignment="1">
      <alignment vertical="center"/>
    </xf>
    <xf numFmtId="0" fontId="37" fillId="33" borderId="0" xfId="0" applyFont="1" applyFill="1" applyAlignment="1">
      <alignment horizontal="right" vertical="center"/>
    </xf>
    <xf numFmtId="0" fontId="2" fillId="33" borderId="13" xfId="0" applyFont="1" applyFill="1" applyBorder="1" applyAlignment="1">
      <alignment horizontal="center" vertical="center" wrapText="1"/>
    </xf>
    <xf numFmtId="3" fontId="33" fillId="33" borderId="13" xfId="0" applyNumberFormat="1" applyFont="1" applyFill="1" applyBorder="1" applyAlignment="1">
      <alignment horizontal="center" vertical="center" wrapText="1"/>
    </xf>
    <xf numFmtId="0" fontId="33" fillId="33" borderId="13" xfId="0" applyFont="1" applyFill="1" applyBorder="1" applyAlignment="1">
      <alignment horizontal="center" vertical="center" wrapText="1"/>
    </xf>
    <xf numFmtId="0" fontId="14" fillId="33" borderId="14" xfId="0" applyFont="1" applyFill="1" applyBorder="1" applyAlignment="1">
      <alignment horizontal="center" vertical="center" wrapText="1"/>
    </xf>
    <xf numFmtId="176" fontId="26" fillId="33" borderId="0" xfId="0" applyNumberFormat="1" applyFont="1" applyFill="1" applyAlignment="1">
      <alignment vertical="center"/>
    </xf>
    <xf numFmtId="187" fontId="11" fillId="33" borderId="0" xfId="0" applyNumberFormat="1" applyFont="1" applyFill="1" applyAlignment="1">
      <alignment vertical="center"/>
    </xf>
    <xf numFmtId="188" fontId="11" fillId="33" borderId="0" xfId="0" applyNumberFormat="1" applyFont="1" applyFill="1" applyAlignment="1">
      <alignment vertical="center"/>
    </xf>
    <xf numFmtId="175" fontId="11" fillId="33" borderId="0" xfId="0" applyNumberFormat="1" applyFont="1" applyFill="1" applyAlignment="1">
      <alignment vertical="center"/>
    </xf>
    <xf numFmtId="4" fontId="28" fillId="33" borderId="0" xfId="115" applyNumberFormat="1" applyFont="1" applyFill="1" applyAlignment="1">
      <alignment horizontal="center" vertical="center"/>
      <protection/>
    </xf>
    <xf numFmtId="4" fontId="3" fillId="33" borderId="10" xfId="0" applyNumberFormat="1" applyFont="1" applyFill="1" applyBorder="1" applyAlignment="1">
      <alignment vertical="center" wrapText="1"/>
    </xf>
    <xf numFmtId="4" fontId="2" fillId="33" borderId="14" xfId="0" applyNumberFormat="1" applyFont="1" applyFill="1" applyBorder="1" applyAlignment="1">
      <alignment vertical="center" wrapText="1"/>
    </xf>
    <xf numFmtId="9" fontId="2" fillId="33" borderId="14" xfId="118" applyFont="1" applyFill="1" applyBorder="1" applyAlignment="1">
      <alignment vertical="center" wrapText="1"/>
    </xf>
    <xf numFmtId="9" fontId="1" fillId="33" borderId="10" xfId="118" applyFont="1" applyFill="1" applyBorder="1" applyAlignment="1">
      <alignment vertical="center" wrapText="1"/>
    </xf>
    <xf numFmtId="0" fontId="3" fillId="33" borderId="10" xfId="0" applyFont="1" applyFill="1" applyBorder="1" applyAlignment="1">
      <alignment vertical="center" wrapText="1"/>
    </xf>
    <xf numFmtId="0" fontId="3" fillId="33" borderId="10" xfId="0" applyFont="1" applyFill="1" applyBorder="1" applyAlignment="1">
      <alignment horizontal="center" vertical="center" wrapText="1"/>
    </xf>
    <xf numFmtId="3" fontId="1" fillId="33" borderId="15" xfId="0" applyNumberFormat="1" applyFont="1" applyFill="1" applyBorder="1" applyAlignment="1">
      <alignment vertical="center" wrapText="1"/>
    </xf>
    <xf numFmtId="9" fontId="1" fillId="33" borderId="15" xfId="118" applyFont="1" applyFill="1" applyBorder="1" applyAlignment="1">
      <alignment vertical="center" wrapText="1"/>
    </xf>
    <xf numFmtId="3" fontId="3" fillId="33" borderId="10" xfId="0" applyNumberFormat="1" applyFont="1" applyFill="1" applyBorder="1" applyAlignment="1">
      <alignment horizontal="right" vertical="center" wrapText="1"/>
    </xf>
    <xf numFmtId="0" fontId="42" fillId="33" borderId="0" xfId="115" applyFont="1" applyFill="1" applyAlignment="1">
      <alignment vertical="center"/>
      <protection/>
    </xf>
    <xf numFmtId="0" fontId="82" fillId="33" borderId="0" xfId="0" applyFont="1" applyFill="1" applyBorder="1" applyAlignment="1">
      <alignment/>
    </xf>
    <xf numFmtId="0" fontId="20" fillId="33" borderId="0" xfId="0" applyFont="1" applyFill="1" applyBorder="1" applyAlignment="1">
      <alignment/>
    </xf>
    <xf numFmtId="0" fontId="83" fillId="33" borderId="0" xfId="0" applyFont="1" applyFill="1" applyBorder="1" applyAlignment="1">
      <alignment/>
    </xf>
    <xf numFmtId="0" fontId="20" fillId="33" borderId="12" xfId="0" applyFont="1" applyFill="1" applyBorder="1" applyAlignment="1">
      <alignment horizontal="center" vertical="center" wrapText="1"/>
    </xf>
    <xf numFmtId="0" fontId="20" fillId="33" borderId="12" xfId="0" applyFont="1" applyFill="1" applyBorder="1" applyAlignment="1">
      <alignment vertical="center" wrapText="1"/>
    </xf>
    <xf numFmtId="3" fontId="20" fillId="33" borderId="12" xfId="0" applyNumberFormat="1" applyFont="1" applyFill="1" applyBorder="1" applyAlignment="1">
      <alignment vertical="center" wrapText="1"/>
    </xf>
    <xf numFmtId="9" fontId="47" fillId="33" borderId="12" xfId="118" applyFont="1" applyFill="1" applyBorder="1" applyAlignment="1">
      <alignment vertical="center" wrapText="1"/>
    </xf>
    <xf numFmtId="0" fontId="20" fillId="33" borderId="15" xfId="0" applyFont="1" applyFill="1" applyBorder="1" applyAlignment="1">
      <alignment horizontal="center" vertical="center" wrapText="1"/>
    </xf>
    <xf numFmtId="0" fontId="20" fillId="33" borderId="15" xfId="0" applyFont="1" applyFill="1" applyBorder="1" applyAlignment="1">
      <alignment vertical="center" wrapText="1"/>
    </xf>
    <xf numFmtId="3" fontId="20" fillId="33" borderId="15" xfId="0" applyNumberFormat="1" applyFont="1" applyFill="1" applyBorder="1" applyAlignment="1">
      <alignment vertical="center" wrapText="1"/>
    </xf>
    <xf numFmtId="3" fontId="47" fillId="33" borderId="15" xfId="118" applyNumberFormat="1" applyFont="1" applyFill="1" applyBorder="1" applyAlignment="1">
      <alignment vertical="center" wrapText="1"/>
    </xf>
    <xf numFmtId="0" fontId="3" fillId="33" borderId="0" xfId="0" applyFont="1" applyFill="1" applyAlignment="1">
      <alignment/>
    </xf>
    <xf numFmtId="0" fontId="64" fillId="33" borderId="0" xfId="0" applyFont="1" applyFill="1" applyBorder="1" applyAlignment="1">
      <alignment/>
    </xf>
    <xf numFmtId="0" fontId="3" fillId="33" borderId="0" xfId="0" applyFont="1" applyFill="1" applyBorder="1" applyAlignment="1">
      <alignment/>
    </xf>
    <xf numFmtId="0" fontId="64" fillId="33" borderId="10" xfId="0" applyFont="1" applyFill="1" applyBorder="1" applyAlignment="1">
      <alignment/>
    </xf>
    <xf numFmtId="0" fontId="84" fillId="33" borderId="0" xfId="0" applyFont="1" applyFill="1" applyBorder="1" applyAlignment="1">
      <alignment/>
    </xf>
    <xf numFmtId="4" fontId="1" fillId="33" borderId="15" xfId="0" applyNumberFormat="1" applyFont="1" applyFill="1" applyBorder="1" applyAlignment="1">
      <alignment vertical="center" wrapText="1"/>
    </xf>
    <xf numFmtId="0" fontId="2" fillId="33" borderId="15" xfId="0" applyFont="1" applyFill="1" applyBorder="1" applyAlignment="1">
      <alignment horizontal="center" vertical="center" wrapText="1"/>
    </xf>
    <xf numFmtId="0" fontId="2" fillId="33" borderId="15" xfId="0" applyFont="1" applyFill="1" applyBorder="1" applyAlignment="1">
      <alignment vertical="center" wrapText="1"/>
    </xf>
    <xf numFmtId="3" fontId="2" fillId="33" borderId="15" xfId="0" applyNumberFormat="1" applyFont="1" applyFill="1" applyBorder="1" applyAlignment="1">
      <alignment horizontal="right" vertical="center" wrapText="1"/>
    </xf>
    <xf numFmtId="4" fontId="2" fillId="33" borderId="15" xfId="0" applyNumberFormat="1" applyFont="1" applyFill="1" applyBorder="1" applyAlignment="1">
      <alignment horizontal="right" vertical="center" wrapText="1"/>
    </xf>
    <xf numFmtId="9" fontId="2" fillId="33" borderId="15" xfId="118" applyFont="1" applyFill="1" applyBorder="1" applyAlignment="1">
      <alignment horizontal="right" vertical="center" wrapText="1"/>
    </xf>
    <xf numFmtId="3" fontId="14" fillId="33" borderId="14" xfId="0" applyNumberFormat="1" applyFont="1" applyFill="1" applyBorder="1" applyAlignment="1">
      <alignment horizontal="right" vertical="center" wrapText="1"/>
    </xf>
    <xf numFmtId="9" fontId="14" fillId="33" borderId="14" xfId="118" applyFont="1" applyFill="1" applyBorder="1" applyAlignment="1">
      <alignment horizontal="center" vertical="center" wrapText="1"/>
    </xf>
    <xf numFmtId="0" fontId="28" fillId="33" borderId="0" xfId="115" applyFont="1" applyFill="1" applyAlignment="1">
      <alignment horizontal="center" vertical="center"/>
      <protection/>
    </xf>
    <xf numFmtId="3" fontId="18" fillId="33" borderId="0" xfId="0" applyNumberFormat="1" applyFont="1" applyFill="1" applyAlignment="1">
      <alignment vertical="center"/>
    </xf>
    <xf numFmtId="4" fontId="5" fillId="33" borderId="0" xfId="0" applyNumberFormat="1" applyFont="1" applyFill="1" applyAlignment="1">
      <alignment/>
    </xf>
    <xf numFmtId="180" fontId="7" fillId="33" borderId="17" xfId="0" applyNumberFormat="1" applyFont="1" applyFill="1" applyBorder="1" applyAlignment="1">
      <alignment horizontal="right" vertical="center" wrapText="1"/>
    </xf>
    <xf numFmtId="180" fontId="5" fillId="33" borderId="0" xfId="0" applyNumberFormat="1" applyFont="1" applyFill="1" applyAlignment="1">
      <alignment/>
    </xf>
    <xf numFmtId="0" fontId="16" fillId="33" borderId="0" xfId="115" applyFont="1" applyFill="1" applyAlignment="1">
      <alignment horizontal="center" vertical="center" wrapText="1"/>
      <protection/>
    </xf>
    <xf numFmtId="3" fontId="34" fillId="33" borderId="14" xfId="0" applyNumberFormat="1" applyFont="1" applyFill="1" applyBorder="1" applyAlignment="1">
      <alignment horizontal="center" vertical="center" wrapText="1"/>
    </xf>
    <xf numFmtId="177" fontId="34" fillId="33" borderId="17" xfId="46" applyNumberFormat="1" applyFont="1" applyFill="1" applyBorder="1" applyAlignment="1">
      <alignment vertical="center"/>
    </xf>
    <xf numFmtId="0" fontId="18" fillId="33" borderId="0" xfId="0" applyFont="1" applyFill="1" applyAlignment="1">
      <alignment horizontal="center" vertical="center" wrapText="1"/>
    </xf>
    <xf numFmtId="0" fontId="42" fillId="33" borderId="0" xfId="115" applyFont="1" applyFill="1" applyAlignment="1">
      <alignment horizontal="center" vertical="center"/>
      <protection/>
    </xf>
    <xf numFmtId="4" fontId="34" fillId="33" borderId="11" xfId="0" applyNumberFormat="1" applyFont="1" applyFill="1" applyBorder="1" applyAlignment="1">
      <alignment horizontal="center" vertical="center" wrapText="1"/>
    </xf>
    <xf numFmtId="3" fontId="18" fillId="33" borderId="0" xfId="0" applyNumberFormat="1" applyFont="1" applyFill="1" applyAlignment="1">
      <alignment horizontal="center" vertical="center" wrapText="1"/>
    </xf>
    <xf numFmtId="4" fontId="18" fillId="33" borderId="0" xfId="0" applyNumberFormat="1" applyFont="1" applyFill="1" applyAlignment="1">
      <alignment horizontal="center" vertical="center" wrapText="1"/>
    </xf>
    <xf numFmtId="4" fontId="42" fillId="33" borderId="0" xfId="115" applyNumberFormat="1" applyFont="1" applyFill="1" applyAlignment="1">
      <alignment horizontal="center" vertical="center"/>
      <protection/>
    </xf>
    <xf numFmtId="4" fontId="34" fillId="33" borderId="10" xfId="0" applyNumberFormat="1" applyFont="1" applyFill="1" applyBorder="1" applyAlignment="1">
      <alignment vertical="center" wrapText="1"/>
    </xf>
    <xf numFmtId="177" fontId="34" fillId="33" borderId="0" xfId="0" applyNumberFormat="1" applyFont="1" applyFill="1" applyBorder="1" applyAlignment="1">
      <alignment vertical="center"/>
    </xf>
    <xf numFmtId="3" fontId="33" fillId="33" borderId="10" xfId="0" applyNumberFormat="1" applyFont="1" applyFill="1" applyBorder="1" applyAlignment="1">
      <alignment horizontal="right" vertical="center" wrapText="1"/>
    </xf>
    <xf numFmtId="3" fontId="33" fillId="33" borderId="10" xfId="46" applyNumberFormat="1" applyFont="1" applyFill="1" applyBorder="1" applyAlignment="1">
      <alignment vertical="center"/>
    </xf>
    <xf numFmtId="3" fontId="33" fillId="33" borderId="10" xfId="46" applyNumberFormat="1" applyFont="1" applyFill="1" applyBorder="1" applyAlignment="1">
      <alignment horizontal="right" vertical="center"/>
    </xf>
    <xf numFmtId="3" fontId="33" fillId="33" borderId="10" xfId="0" applyNumberFormat="1" applyFont="1" applyFill="1" applyBorder="1" applyAlignment="1">
      <alignment horizontal="right" vertical="center"/>
    </xf>
    <xf numFmtId="3" fontId="34" fillId="33" borderId="20" xfId="0" applyNumberFormat="1" applyFont="1" applyFill="1" applyBorder="1" applyAlignment="1">
      <alignment horizontal="center" vertical="center" wrapText="1"/>
    </xf>
    <xf numFmtId="177" fontId="34" fillId="33" borderId="0" xfId="0" applyNumberFormat="1" applyFont="1" applyFill="1" applyAlignment="1">
      <alignment vertical="center"/>
    </xf>
    <xf numFmtId="2" fontId="34" fillId="33" borderId="14" xfId="0" applyNumberFormat="1" applyFont="1" applyFill="1" applyBorder="1" applyAlignment="1">
      <alignment horizontal="center" vertical="center" wrapText="1"/>
    </xf>
    <xf numFmtId="3" fontId="34" fillId="33" borderId="14" xfId="0" applyNumberFormat="1" applyFont="1" applyFill="1" applyBorder="1" applyAlignment="1">
      <alignment vertical="center" wrapText="1"/>
    </xf>
    <xf numFmtId="4" fontId="34" fillId="33" borderId="14" xfId="0" applyNumberFormat="1" applyFont="1" applyFill="1" applyBorder="1" applyAlignment="1">
      <alignment vertical="center" wrapText="1"/>
    </xf>
    <xf numFmtId="9" fontId="34" fillId="33" borderId="14" xfId="118" applyNumberFormat="1" applyFont="1" applyFill="1" applyBorder="1" applyAlignment="1">
      <alignment horizontal="right" vertical="center" wrapText="1"/>
    </xf>
    <xf numFmtId="9" fontId="34" fillId="33" borderId="14" xfId="118" applyNumberFormat="1" applyFont="1" applyFill="1" applyBorder="1" applyAlignment="1">
      <alignment horizontal="center" vertical="center" wrapText="1"/>
    </xf>
    <xf numFmtId="3" fontId="34" fillId="33" borderId="10" xfId="0" applyNumberFormat="1" applyFont="1" applyFill="1" applyBorder="1" applyAlignment="1">
      <alignment horizontal="right" vertical="center" wrapText="1"/>
    </xf>
    <xf numFmtId="3" fontId="34" fillId="33" borderId="10" xfId="46" applyNumberFormat="1" applyFont="1" applyFill="1" applyBorder="1" applyAlignment="1">
      <alignment vertical="center" wrapText="1"/>
    </xf>
    <xf numFmtId="3" fontId="34" fillId="33" borderId="10" xfId="46" applyNumberFormat="1" applyFont="1" applyFill="1" applyBorder="1" applyAlignment="1">
      <alignment vertical="center"/>
    </xf>
    <xf numFmtId="4" fontId="34" fillId="33" borderId="10" xfId="0" applyNumberFormat="1" applyFont="1" applyFill="1" applyBorder="1" applyAlignment="1">
      <alignment horizontal="right" vertical="center" wrapText="1"/>
    </xf>
    <xf numFmtId="4" fontId="34" fillId="33" borderId="10" xfId="46" applyNumberFormat="1" applyFont="1" applyFill="1" applyBorder="1" applyAlignment="1">
      <alignment vertical="center"/>
    </xf>
    <xf numFmtId="9" fontId="34" fillId="33" borderId="10" xfId="118" applyNumberFormat="1" applyFont="1" applyFill="1" applyBorder="1" applyAlignment="1">
      <alignment horizontal="right" vertical="center"/>
    </xf>
    <xf numFmtId="9" fontId="34" fillId="33" borderId="10" xfId="118" applyNumberFormat="1" applyFont="1" applyFill="1" applyBorder="1" applyAlignment="1">
      <alignment vertical="center"/>
    </xf>
    <xf numFmtId="177" fontId="34" fillId="33" borderId="21" xfId="46" applyNumberFormat="1" applyFont="1" applyFill="1" applyBorder="1" applyAlignment="1">
      <alignment vertical="center"/>
    </xf>
    <xf numFmtId="3" fontId="34" fillId="33" borderId="10" xfId="0" applyNumberFormat="1" applyFont="1" applyFill="1" applyBorder="1" applyAlignment="1">
      <alignment vertical="center"/>
    </xf>
    <xf numFmtId="4" fontId="34" fillId="33" borderId="10" xfId="0" applyNumberFormat="1" applyFont="1" applyFill="1" applyBorder="1" applyAlignment="1">
      <alignment vertical="center"/>
    </xf>
    <xf numFmtId="9" fontId="34" fillId="33" borderId="10" xfId="0" applyNumberFormat="1" applyFont="1" applyFill="1" applyBorder="1" applyAlignment="1">
      <alignment horizontal="right" vertical="center"/>
    </xf>
    <xf numFmtId="9" fontId="34" fillId="33" borderId="10" xfId="0" applyNumberFormat="1" applyFont="1" applyFill="1" applyBorder="1" applyAlignment="1">
      <alignment vertical="center"/>
    </xf>
    <xf numFmtId="3" fontId="33" fillId="33" borderId="15" xfId="0" applyNumberFormat="1" applyFont="1" applyFill="1" applyBorder="1" applyAlignment="1">
      <alignment vertical="center"/>
    </xf>
    <xf numFmtId="4" fontId="33" fillId="33" borderId="15" xfId="0" applyNumberFormat="1" applyFont="1" applyFill="1" applyBorder="1" applyAlignment="1">
      <alignment vertical="center"/>
    </xf>
    <xf numFmtId="9" fontId="33" fillId="33" borderId="15" xfId="0" applyNumberFormat="1" applyFont="1" applyFill="1" applyBorder="1" applyAlignment="1">
      <alignment horizontal="right" vertical="center"/>
    </xf>
    <xf numFmtId="9" fontId="33" fillId="33" borderId="15" xfId="0" applyNumberFormat="1" applyFont="1" applyFill="1" applyBorder="1" applyAlignment="1">
      <alignment vertical="center"/>
    </xf>
    <xf numFmtId="4" fontId="20" fillId="33" borderId="0" xfId="115" applyNumberFormat="1" applyFont="1" applyFill="1" applyAlignment="1">
      <alignment horizontal="center" vertical="center"/>
      <protection/>
    </xf>
    <xf numFmtId="9" fontId="33" fillId="33" borderId="13"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4" fontId="34" fillId="33" borderId="11" xfId="0" applyNumberFormat="1" applyFont="1" applyFill="1" applyBorder="1" applyAlignment="1">
      <alignment horizontal="center" vertical="center" wrapText="1"/>
    </xf>
    <xf numFmtId="4" fontId="18" fillId="33" borderId="0" xfId="0" applyNumberFormat="1" applyFont="1" applyFill="1" applyAlignment="1">
      <alignment horizontal="center" vertical="center" wrapText="1"/>
    </xf>
    <xf numFmtId="4" fontId="42" fillId="33" borderId="0" xfId="115" applyNumberFormat="1" applyFont="1" applyFill="1" applyAlignment="1">
      <alignment horizontal="center" vertical="center"/>
      <protection/>
    </xf>
    <xf numFmtId="0" fontId="14" fillId="33" borderId="13" xfId="0" applyFont="1" applyFill="1" applyBorder="1" applyAlignment="1">
      <alignment horizontal="center" vertical="center" wrapText="1"/>
    </xf>
    <xf numFmtId="3" fontId="14" fillId="33" borderId="13" xfId="0" applyNumberFormat="1" applyFont="1" applyFill="1" applyBorder="1" applyAlignment="1">
      <alignment horizontal="center" vertical="center" wrapText="1"/>
    </xf>
    <xf numFmtId="4" fontId="1"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right" vertical="center" wrapText="1"/>
    </xf>
    <xf numFmtId="4" fontId="82" fillId="33" borderId="0" xfId="0" applyNumberFormat="1" applyFont="1" applyFill="1" applyAlignment="1">
      <alignment/>
    </xf>
    <xf numFmtId="4" fontId="1" fillId="33" borderId="10" xfId="115" applyNumberFormat="1" applyFont="1" applyFill="1" applyBorder="1" applyAlignment="1">
      <alignment horizontal="right" vertical="center" wrapText="1"/>
      <protection/>
    </xf>
    <xf numFmtId="4" fontId="7" fillId="33" borderId="10" xfId="115" applyNumberFormat="1" applyFont="1" applyFill="1" applyBorder="1" applyAlignment="1">
      <alignment vertical="center" wrapText="1"/>
      <protection/>
    </xf>
    <xf numFmtId="4" fontId="5" fillId="33" borderId="13" xfId="0" applyNumberFormat="1" applyFont="1" applyFill="1" applyBorder="1" applyAlignment="1">
      <alignment horizontal="center" vertical="center" wrapText="1"/>
    </xf>
    <xf numFmtId="4" fontId="7" fillId="33" borderId="10" xfId="0" applyNumberFormat="1" applyFont="1" applyFill="1" applyBorder="1" applyAlignment="1">
      <alignment horizontal="right" vertical="center" wrapText="1"/>
    </xf>
    <xf numFmtId="4" fontId="5" fillId="33" borderId="15" xfId="0" applyNumberFormat="1" applyFont="1" applyFill="1" applyBorder="1" applyAlignment="1">
      <alignment horizontal="right" vertical="center" wrapText="1"/>
    </xf>
    <xf numFmtId="3" fontId="5" fillId="33" borderId="13" xfId="0" applyNumberFormat="1" applyFont="1" applyFill="1" applyBorder="1" applyAlignment="1">
      <alignment horizontal="center" vertical="center" wrapText="1"/>
    </xf>
    <xf numFmtId="4" fontId="44" fillId="33" borderId="0" xfId="0" applyNumberFormat="1" applyFont="1" applyFill="1" applyAlignment="1">
      <alignment horizontal="right"/>
    </xf>
    <xf numFmtId="4" fontId="5" fillId="33" borderId="12" xfId="0" applyNumberFormat="1" applyFont="1" applyFill="1" applyBorder="1" applyAlignment="1">
      <alignment horizontal="right" vertical="center" wrapText="1"/>
    </xf>
    <xf numFmtId="4" fontId="7" fillId="33" borderId="0" xfId="0" applyNumberFormat="1" applyFont="1" applyFill="1" applyAlignment="1">
      <alignment horizontal="right"/>
    </xf>
    <xf numFmtId="4" fontId="5" fillId="32" borderId="12" xfId="0" applyNumberFormat="1" applyFont="1" applyFill="1" applyBorder="1" applyAlignment="1">
      <alignment vertical="center" wrapText="1"/>
    </xf>
    <xf numFmtId="4" fontId="5" fillId="32" borderId="10" xfId="0" applyNumberFormat="1" applyFont="1" applyFill="1" applyBorder="1" applyAlignment="1">
      <alignment vertical="center" wrapText="1"/>
    </xf>
    <xf numFmtId="4" fontId="6" fillId="32" borderId="10" xfId="0" applyNumberFormat="1" applyFont="1" applyFill="1" applyBorder="1" applyAlignment="1">
      <alignment vertical="center" wrapText="1"/>
    </xf>
    <xf numFmtId="4" fontId="5" fillId="33" borderId="10" xfId="0" applyNumberFormat="1" applyFont="1" applyFill="1" applyBorder="1" applyAlignment="1">
      <alignment vertical="center" wrapText="1"/>
    </xf>
    <xf numFmtId="4" fontId="7" fillId="33" borderId="17" xfId="0" applyNumberFormat="1" applyFont="1" applyFill="1" applyBorder="1" applyAlignment="1">
      <alignment vertical="center" wrapText="1"/>
    </xf>
    <xf numFmtId="4" fontId="5" fillId="33" borderId="18" xfId="0" applyNumberFormat="1" applyFont="1" applyFill="1" applyBorder="1" applyAlignment="1">
      <alignment horizontal="right" vertical="center" wrapText="1"/>
    </xf>
    <xf numFmtId="3" fontId="7" fillId="33" borderId="13" xfId="0" applyNumberFormat="1" applyFont="1" applyFill="1" applyBorder="1" applyAlignment="1">
      <alignment horizontal="center" vertical="center" wrapText="1"/>
    </xf>
    <xf numFmtId="4" fontId="5" fillId="33" borderId="0" xfId="0" applyNumberFormat="1" applyFont="1" applyFill="1" applyAlignment="1">
      <alignment vertical="center"/>
    </xf>
    <xf numFmtId="4" fontId="16" fillId="33" borderId="0" xfId="115" applyNumberFormat="1" applyFont="1" applyFill="1" applyAlignment="1">
      <alignment horizontal="center" vertical="center"/>
      <protection/>
    </xf>
    <xf numFmtId="4" fontId="5" fillId="33" borderId="11" xfId="0" applyNumberFormat="1" applyFont="1" applyFill="1" applyBorder="1" applyAlignment="1">
      <alignment horizontal="center" vertical="center" wrapText="1"/>
    </xf>
    <xf numFmtId="9" fontId="3" fillId="33" borderId="10" xfId="118" applyFont="1" applyFill="1" applyBorder="1" applyAlignment="1">
      <alignment vertical="center" wrapText="1"/>
    </xf>
    <xf numFmtId="3" fontId="1" fillId="33" borderId="10" xfId="0" applyNumberFormat="1" applyFont="1" applyFill="1" applyBorder="1" applyAlignment="1">
      <alignment/>
    </xf>
    <xf numFmtId="0" fontId="20" fillId="33" borderId="0" xfId="115" applyFont="1" applyFill="1" applyAlignment="1">
      <alignment horizontal="center" vertical="center"/>
      <protection/>
    </xf>
    <xf numFmtId="0" fontId="2" fillId="33" borderId="13" xfId="0" applyFont="1" applyFill="1" applyBorder="1" applyAlignment="1">
      <alignment horizontal="center" vertical="center" wrapText="1"/>
    </xf>
    <xf numFmtId="0" fontId="42" fillId="33" borderId="0" xfId="115" applyFont="1" applyFill="1" applyAlignment="1">
      <alignment horizontal="center" vertical="center"/>
      <protection/>
    </xf>
    <xf numFmtId="0" fontId="5" fillId="33" borderId="15" xfId="0" applyFont="1" applyFill="1" applyBorder="1" applyAlignment="1">
      <alignment horizontal="center" vertical="center" wrapText="1"/>
    </xf>
    <xf numFmtId="4" fontId="14" fillId="33" borderId="13" xfId="0" applyNumberFormat="1" applyFont="1" applyFill="1" applyBorder="1" applyAlignment="1">
      <alignment horizontal="center" vertical="center" wrapText="1"/>
    </xf>
    <xf numFmtId="3" fontId="14" fillId="33" borderId="11" xfId="0" applyNumberFormat="1" applyFont="1" applyFill="1" applyBorder="1" applyAlignment="1">
      <alignment horizontal="center" vertical="center" wrapText="1"/>
    </xf>
    <xf numFmtId="3" fontId="5" fillId="33" borderId="15" xfId="0" applyNumberFormat="1" applyFont="1" applyFill="1" applyBorder="1" applyAlignment="1">
      <alignment horizontal="center" vertical="center" wrapText="1"/>
    </xf>
    <xf numFmtId="3" fontId="5" fillId="33" borderId="15" xfId="0" applyNumberFormat="1" applyFont="1" applyFill="1" applyBorder="1" applyAlignment="1">
      <alignment vertical="center" wrapText="1"/>
    </xf>
    <xf numFmtId="180" fontId="5" fillId="33" borderId="15" xfId="0" applyNumberFormat="1" applyFont="1" applyFill="1" applyBorder="1" applyAlignment="1">
      <alignment horizontal="right" vertical="center" wrapText="1"/>
    </xf>
    <xf numFmtId="4" fontId="5" fillId="33" borderId="12" xfId="0" applyNumberFormat="1" applyFont="1" applyFill="1" applyBorder="1" applyAlignment="1">
      <alignment vertical="center" wrapText="1"/>
    </xf>
    <xf numFmtId="9" fontId="5" fillId="33" borderId="12" xfId="118" applyFont="1" applyFill="1" applyBorder="1" applyAlignment="1">
      <alignment vertical="center" wrapText="1"/>
    </xf>
    <xf numFmtId="176" fontId="7" fillId="33" borderId="0" xfId="0" applyNumberFormat="1" applyFont="1" applyFill="1" applyAlignment="1">
      <alignment vertical="center"/>
    </xf>
    <xf numFmtId="186" fontId="7" fillId="33" borderId="0" xfId="0" applyNumberFormat="1" applyFont="1" applyFill="1" applyAlignment="1">
      <alignment vertical="center"/>
    </xf>
    <xf numFmtId="218" fontId="7" fillId="33" borderId="0" xfId="0" applyNumberFormat="1" applyFont="1" applyFill="1" applyAlignment="1">
      <alignment vertical="center"/>
    </xf>
    <xf numFmtId="180" fontId="7" fillId="33" borderId="0" xfId="0" applyNumberFormat="1" applyFont="1" applyFill="1" applyAlignment="1">
      <alignment vertical="center"/>
    </xf>
    <xf numFmtId="0" fontId="6" fillId="33" borderId="10" xfId="0" applyFont="1" applyFill="1" applyBorder="1" applyAlignment="1">
      <alignment vertical="center" wrapText="1"/>
    </xf>
    <xf numFmtId="3" fontId="6" fillId="33" borderId="10" xfId="0" applyNumberFormat="1" applyFont="1" applyFill="1" applyBorder="1" applyAlignment="1">
      <alignment vertical="center" wrapText="1"/>
    </xf>
    <xf numFmtId="4" fontId="6" fillId="33" borderId="10" xfId="0" applyNumberFormat="1" applyFont="1" applyFill="1" applyBorder="1" applyAlignment="1">
      <alignment vertical="center" wrapText="1"/>
    </xf>
    <xf numFmtId="3" fontId="5" fillId="33" borderId="10" xfId="0" applyNumberFormat="1" applyFont="1" applyFill="1" applyBorder="1" applyAlignment="1">
      <alignment horizontal="left" vertical="center" wrapText="1"/>
    </xf>
    <xf numFmtId="0" fontId="5" fillId="33" borderId="15" xfId="0" applyFont="1" applyFill="1" applyBorder="1" applyAlignment="1">
      <alignment vertical="center" wrapText="1"/>
    </xf>
    <xf numFmtId="3" fontId="7" fillId="33" borderId="15" xfId="0" applyNumberFormat="1" applyFont="1" applyFill="1" applyBorder="1" applyAlignment="1">
      <alignment vertical="center" wrapText="1"/>
    </xf>
    <xf numFmtId="0" fontId="5" fillId="33" borderId="17" xfId="0" applyFont="1" applyFill="1" applyBorder="1" applyAlignment="1">
      <alignment horizontal="center" vertical="center" wrapText="1"/>
    </xf>
    <xf numFmtId="0" fontId="5" fillId="33" borderId="17" xfId="0" applyFont="1" applyFill="1" applyBorder="1" applyAlignment="1">
      <alignment vertical="center" wrapText="1"/>
    </xf>
    <xf numFmtId="3" fontId="7" fillId="33" borderId="17" xfId="0" applyNumberFormat="1" applyFont="1" applyFill="1" applyBorder="1" applyAlignment="1">
      <alignment horizontal="right" vertical="center" wrapText="1"/>
    </xf>
    <xf numFmtId="4" fontId="5" fillId="33" borderId="17" xfId="0" applyNumberFormat="1" applyFont="1" applyFill="1" applyBorder="1" applyAlignment="1">
      <alignment horizontal="right" vertical="center" wrapText="1"/>
    </xf>
    <xf numFmtId="9" fontId="5" fillId="33" borderId="17" xfId="118" applyFont="1" applyFill="1" applyBorder="1" applyAlignment="1">
      <alignment horizontal="right" vertical="center" wrapText="1"/>
    </xf>
    <xf numFmtId="3" fontId="7" fillId="33" borderId="15" xfId="0" applyNumberFormat="1" applyFont="1" applyFill="1" applyBorder="1" applyAlignment="1">
      <alignment horizontal="right" vertical="center" wrapText="1"/>
    </xf>
    <xf numFmtId="9" fontId="5" fillId="33" borderId="15" xfId="118" applyFont="1" applyFill="1" applyBorder="1" applyAlignment="1">
      <alignment horizontal="right" vertical="center" wrapText="1"/>
    </xf>
    <xf numFmtId="4" fontId="5" fillId="33" borderId="10" xfId="0" applyNumberFormat="1" applyFont="1" applyFill="1" applyBorder="1" applyAlignment="1">
      <alignment vertical="center"/>
    </xf>
    <xf numFmtId="3" fontId="11" fillId="33" borderId="0" xfId="0" applyNumberFormat="1" applyFont="1" applyFill="1" applyAlignment="1">
      <alignment vertical="center"/>
    </xf>
    <xf numFmtId="4" fontId="5" fillId="33" borderId="15" xfId="0" applyNumberFormat="1" applyFont="1" applyFill="1" applyBorder="1" applyAlignment="1">
      <alignment vertical="center" wrapText="1"/>
    </xf>
    <xf numFmtId="4" fontId="5" fillId="33" borderId="15" xfId="0" applyNumberFormat="1" applyFont="1" applyFill="1" applyBorder="1" applyAlignment="1">
      <alignment vertical="center"/>
    </xf>
    <xf numFmtId="9" fontId="7" fillId="33" borderId="15" xfId="118" applyFont="1" applyFill="1" applyBorder="1" applyAlignment="1">
      <alignment vertical="center" wrapText="1"/>
    </xf>
    <xf numFmtId="0" fontId="29" fillId="33" borderId="0" xfId="0" applyFont="1" applyFill="1" applyAlignment="1">
      <alignment horizontal="center" vertical="center"/>
    </xf>
    <xf numFmtId="0" fontId="29" fillId="33" borderId="0" xfId="0" applyFont="1" applyFill="1" applyAlignment="1">
      <alignment vertical="center"/>
    </xf>
    <xf numFmtId="3" fontId="29" fillId="33" borderId="0" xfId="0" applyNumberFormat="1" applyFont="1" applyFill="1" applyAlignment="1">
      <alignment horizontal="right" vertical="center"/>
    </xf>
    <xf numFmtId="3" fontId="11" fillId="33" borderId="0" xfId="0" applyNumberFormat="1" applyFont="1" applyFill="1" applyAlignment="1">
      <alignment horizontal="right" vertical="center"/>
    </xf>
    <xf numFmtId="4" fontId="11" fillId="33" borderId="0" xfId="0" applyNumberFormat="1" applyFont="1" applyFill="1" applyAlignment="1">
      <alignment horizontal="right" vertical="center"/>
    </xf>
    <xf numFmtId="4" fontId="29" fillId="33" borderId="0" xfId="0" applyNumberFormat="1" applyFont="1" applyFill="1" applyAlignment="1">
      <alignment horizontal="right" vertical="center"/>
    </xf>
    <xf numFmtId="9" fontId="5" fillId="33" borderId="0" xfId="0" applyNumberFormat="1" applyFont="1" applyFill="1" applyAlignment="1">
      <alignment horizontal="center" vertical="center"/>
    </xf>
    <xf numFmtId="0" fontId="30" fillId="33" borderId="0" xfId="0" applyFont="1" applyFill="1" applyAlignment="1">
      <alignment horizontal="center" vertical="center" wrapText="1"/>
    </xf>
    <xf numFmtId="9" fontId="6" fillId="33" borderId="0" xfId="0" applyNumberFormat="1" applyFont="1" applyFill="1" applyBorder="1" applyAlignment="1">
      <alignment horizontal="center" vertical="center"/>
    </xf>
    <xf numFmtId="9" fontId="14" fillId="33" borderId="0" xfId="0" applyNumberFormat="1" applyFont="1" applyFill="1" applyBorder="1" applyAlignment="1">
      <alignment horizontal="center" vertical="center" wrapText="1"/>
    </xf>
    <xf numFmtId="3" fontId="33" fillId="33" borderId="0" xfId="0" applyNumberFormat="1" applyFont="1" applyFill="1" applyBorder="1" applyAlignment="1">
      <alignment horizontal="center" vertical="center" wrapText="1"/>
    </xf>
    <xf numFmtId="3" fontId="29" fillId="33" borderId="0" xfId="0" applyNumberFormat="1" applyFont="1" applyFill="1" applyAlignment="1">
      <alignment horizontal="center" vertical="center"/>
    </xf>
    <xf numFmtId="0" fontId="14" fillId="33" borderId="14" xfId="0" applyFont="1" applyFill="1" applyBorder="1" applyAlignment="1">
      <alignment vertical="center" wrapText="1"/>
    </xf>
    <xf numFmtId="3" fontId="14" fillId="33" borderId="14" xfId="0" applyNumberFormat="1" applyFont="1" applyFill="1" applyBorder="1" applyAlignment="1">
      <alignment vertical="center" wrapText="1"/>
    </xf>
    <xf numFmtId="9" fontId="14" fillId="33" borderId="14" xfId="118" applyFont="1" applyFill="1" applyBorder="1" applyAlignment="1">
      <alignment vertical="center" wrapText="1"/>
    </xf>
    <xf numFmtId="9" fontId="35" fillId="33" borderId="0" xfId="0" applyNumberFormat="1" applyFont="1" applyFill="1" applyBorder="1" applyAlignment="1">
      <alignment vertical="center" wrapText="1"/>
    </xf>
    <xf numFmtId="0" fontId="31" fillId="33" borderId="0" xfId="0" applyFont="1" applyFill="1" applyAlignment="1">
      <alignment vertical="center"/>
    </xf>
    <xf numFmtId="0" fontId="17" fillId="33" borderId="0" xfId="0" applyFont="1" applyFill="1" applyAlignment="1">
      <alignment horizontal="center" vertical="center"/>
    </xf>
    <xf numFmtId="9" fontId="29" fillId="33" borderId="0" xfId="0" applyNumberFormat="1" applyFont="1" applyFill="1" applyAlignment="1">
      <alignment horizontal="right" vertical="center"/>
    </xf>
    <xf numFmtId="9" fontId="11" fillId="33" borderId="0" xfId="0" applyNumberFormat="1" applyFont="1" applyFill="1" applyAlignment="1">
      <alignment horizontal="right" vertical="center"/>
    </xf>
    <xf numFmtId="0" fontId="6" fillId="33" borderId="0" xfId="0" applyFont="1" applyFill="1" applyAlignment="1">
      <alignment horizontal="center" vertical="center"/>
    </xf>
    <xf numFmtId="4" fontId="13" fillId="33" borderId="12" xfId="0" applyNumberFormat="1" applyFont="1" applyFill="1" applyBorder="1" applyAlignment="1">
      <alignment vertical="center" wrapText="1"/>
    </xf>
    <xf numFmtId="3" fontId="14" fillId="33" borderId="10" xfId="0" applyNumberFormat="1" applyFont="1" applyFill="1" applyBorder="1" applyAlignment="1">
      <alignment horizontal="center" vertical="center" wrapText="1"/>
    </xf>
    <xf numFmtId="2" fontId="14" fillId="33" borderId="10" xfId="0" applyNumberFormat="1" applyFont="1" applyFill="1" applyBorder="1" applyAlignment="1">
      <alignment horizontal="left" vertical="center" wrapText="1"/>
    </xf>
    <xf numFmtId="3" fontId="13" fillId="33" borderId="10" xfId="0" applyNumberFormat="1" applyFont="1" applyFill="1" applyBorder="1" applyAlignment="1">
      <alignment horizontal="center" vertical="center" wrapText="1"/>
    </xf>
    <xf numFmtId="2" fontId="13" fillId="33" borderId="10" xfId="0" applyNumberFormat="1" applyFont="1" applyFill="1" applyBorder="1" applyAlignment="1">
      <alignment horizontal="left" vertical="center" wrapText="1"/>
    </xf>
    <xf numFmtId="2" fontId="13" fillId="33" borderId="10" xfId="0" applyNumberFormat="1" applyFont="1" applyFill="1" applyBorder="1" applyAlignment="1">
      <alignment vertical="center" wrapText="1"/>
    </xf>
    <xf numFmtId="3" fontId="13" fillId="33" borderId="10" xfId="46" applyNumberFormat="1" applyFont="1" applyFill="1" applyBorder="1" applyAlignment="1">
      <alignment vertical="center" wrapText="1"/>
    </xf>
    <xf numFmtId="2" fontId="13" fillId="33" borderId="10" xfId="110" applyNumberFormat="1" applyFont="1" applyFill="1" applyBorder="1" applyAlignment="1">
      <alignment vertical="center" wrapText="1"/>
      <protection/>
    </xf>
    <xf numFmtId="2" fontId="14" fillId="33" borderId="10" xfId="0" applyNumberFormat="1" applyFont="1" applyFill="1" applyBorder="1" applyAlignment="1">
      <alignment vertical="center" wrapText="1"/>
    </xf>
    <xf numFmtId="3" fontId="14" fillId="33" borderId="10" xfId="0" applyNumberFormat="1" applyFont="1" applyFill="1" applyBorder="1" applyAlignment="1">
      <alignment horizontal="center" vertical="center"/>
    </xf>
    <xf numFmtId="3" fontId="13" fillId="33" borderId="15" xfId="0" applyNumberFormat="1" applyFont="1" applyFill="1" applyBorder="1" applyAlignment="1">
      <alignment vertical="center"/>
    </xf>
    <xf numFmtId="0" fontId="13" fillId="33" borderId="15" xfId="0" applyFont="1" applyFill="1" applyBorder="1" applyAlignment="1">
      <alignment vertical="center" wrapText="1"/>
    </xf>
    <xf numFmtId="0" fontId="48" fillId="33" borderId="10" xfId="0" applyFont="1" applyFill="1" applyBorder="1" applyAlignment="1">
      <alignment horizontal="center" vertical="center"/>
    </xf>
    <xf numFmtId="0" fontId="48" fillId="33" borderId="10" xfId="0" applyFont="1" applyFill="1" applyBorder="1" applyAlignment="1">
      <alignment vertical="center"/>
    </xf>
    <xf numFmtId="3" fontId="48" fillId="33" borderId="10" xfId="0" applyNumberFormat="1" applyFont="1" applyFill="1" applyBorder="1" applyAlignment="1">
      <alignment vertical="center" wrapText="1"/>
    </xf>
    <xf numFmtId="4" fontId="48" fillId="33" borderId="10" xfId="0" applyNumberFormat="1" applyFont="1" applyFill="1" applyBorder="1" applyAlignment="1">
      <alignment vertical="center" wrapText="1"/>
    </xf>
    <xf numFmtId="9" fontId="48" fillId="33" borderId="10" xfId="118" applyFont="1" applyFill="1" applyBorder="1" applyAlignment="1">
      <alignment vertical="center" wrapText="1"/>
    </xf>
    <xf numFmtId="0" fontId="48" fillId="33" borderId="10" xfId="0" applyFont="1" applyFill="1" applyBorder="1" applyAlignment="1">
      <alignment vertical="center" wrapText="1"/>
    </xf>
    <xf numFmtId="0" fontId="48" fillId="33" borderId="15" xfId="0" applyFont="1" applyFill="1" applyBorder="1" applyAlignment="1">
      <alignment horizontal="center" vertical="center"/>
    </xf>
    <xf numFmtId="0" fontId="48" fillId="33" borderId="15" xfId="0" applyFont="1" applyFill="1" applyBorder="1" applyAlignment="1">
      <alignment vertical="center"/>
    </xf>
    <xf numFmtId="3" fontId="48" fillId="33" borderId="15" xfId="0" applyNumberFormat="1" applyFont="1" applyFill="1" applyBorder="1" applyAlignment="1">
      <alignment vertical="center" wrapText="1"/>
    </xf>
    <xf numFmtId="4" fontId="48" fillId="33" borderId="15" xfId="0" applyNumberFormat="1" applyFont="1" applyFill="1" applyBorder="1" applyAlignment="1">
      <alignment vertical="center" wrapText="1"/>
    </xf>
    <xf numFmtId="9" fontId="48" fillId="33" borderId="15" xfId="118" applyFont="1" applyFill="1" applyBorder="1" applyAlignment="1">
      <alignment vertical="center" wrapText="1"/>
    </xf>
    <xf numFmtId="3" fontId="34" fillId="33" borderId="14" xfId="0" applyNumberFormat="1" applyFont="1" applyFill="1" applyBorder="1" applyAlignment="1">
      <alignment horizontal="right" vertical="center" wrapText="1"/>
    </xf>
    <xf numFmtId="4" fontId="34" fillId="33" borderId="14" xfId="0" applyNumberFormat="1" applyFont="1" applyFill="1" applyBorder="1" applyAlignment="1">
      <alignment horizontal="right" vertical="center" wrapText="1"/>
    </xf>
    <xf numFmtId="3" fontId="34" fillId="33" borderId="12" xfId="0" applyNumberFormat="1" applyFont="1" applyFill="1" applyBorder="1" applyAlignment="1">
      <alignment horizontal="right" vertical="center" wrapText="1"/>
    </xf>
    <xf numFmtId="4" fontId="34" fillId="33" borderId="12" xfId="0" applyNumberFormat="1" applyFont="1" applyFill="1" applyBorder="1" applyAlignment="1">
      <alignment horizontal="right" vertical="center" wrapText="1"/>
    </xf>
    <xf numFmtId="3" fontId="33" fillId="33" borderId="15" xfId="0" applyNumberFormat="1" applyFont="1" applyFill="1" applyBorder="1" applyAlignment="1">
      <alignment horizontal="right" vertical="center" wrapText="1"/>
    </xf>
    <xf numFmtId="4" fontId="33" fillId="33" borderId="15" xfId="0" applyNumberFormat="1" applyFont="1" applyFill="1" applyBorder="1" applyAlignment="1">
      <alignment horizontal="right" vertical="center" wrapText="1"/>
    </xf>
    <xf numFmtId="0" fontId="37" fillId="33" borderId="0" xfId="0" applyFont="1" applyFill="1" applyAlignment="1">
      <alignment horizontal="right" vertical="center"/>
    </xf>
    <xf numFmtId="0" fontId="37" fillId="33" borderId="0" xfId="0" applyFont="1" applyFill="1" applyAlignment="1">
      <alignment horizontal="center" wrapText="1"/>
    </xf>
    <xf numFmtId="0" fontId="20" fillId="33" borderId="0" xfId="115" applyFont="1" applyFill="1" applyAlignment="1">
      <alignment horizontal="center" vertical="center"/>
      <protection/>
    </xf>
    <xf numFmtId="0" fontId="4" fillId="33" borderId="22" xfId="0" applyFont="1" applyFill="1" applyBorder="1" applyAlignment="1">
      <alignment horizontal="left" vertical="center" wrapText="1"/>
    </xf>
    <xf numFmtId="0" fontId="2" fillId="33" borderId="13" xfId="0" applyFont="1" applyFill="1" applyBorder="1" applyAlignment="1">
      <alignment horizontal="center" vertical="center" wrapText="1"/>
    </xf>
    <xf numFmtId="3" fontId="2" fillId="33" borderId="13" xfId="0" applyNumberFormat="1" applyFont="1" applyFill="1" applyBorder="1" applyAlignment="1">
      <alignment horizontal="center" vertical="center" wrapText="1"/>
    </xf>
    <xf numFmtId="4" fontId="2" fillId="33" borderId="13" xfId="0" applyNumberFormat="1" applyFont="1" applyFill="1" applyBorder="1" applyAlignment="1">
      <alignment horizontal="center" vertical="center" wrapText="1"/>
    </xf>
    <xf numFmtId="0" fontId="7" fillId="33" borderId="0" xfId="0" applyFont="1" applyFill="1" applyAlignment="1">
      <alignment horizontal="left" vertical="center" wrapText="1"/>
    </xf>
    <xf numFmtId="0" fontId="18" fillId="33" borderId="0" xfId="0" applyFont="1" applyFill="1" applyAlignment="1">
      <alignment horizontal="center" vertical="center"/>
    </xf>
    <xf numFmtId="0" fontId="18" fillId="33" borderId="0" xfId="0" applyFont="1" applyFill="1" applyAlignment="1">
      <alignment horizontal="center" wrapText="1"/>
    </xf>
    <xf numFmtId="0" fontId="42" fillId="33" borderId="0" xfId="115" applyFont="1" applyFill="1" applyAlignment="1">
      <alignment horizontal="center" vertical="center"/>
      <protection/>
    </xf>
    <xf numFmtId="0" fontId="5" fillId="33" borderId="13" xfId="0" applyFont="1" applyFill="1" applyBorder="1" applyAlignment="1">
      <alignment horizontal="center" vertical="center" wrapText="1"/>
    </xf>
    <xf numFmtId="4" fontId="5" fillId="33" borderId="13" xfId="0" applyNumberFormat="1" applyFont="1" applyFill="1" applyBorder="1" applyAlignment="1">
      <alignment horizontal="center" vertical="center" wrapText="1"/>
    </xf>
    <xf numFmtId="0" fontId="42" fillId="33" borderId="23" xfId="0" applyFont="1" applyFill="1" applyBorder="1" applyAlignment="1">
      <alignment horizontal="right" vertical="center"/>
    </xf>
    <xf numFmtId="0" fontId="18" fillId="33" borderId="0" xfId="0" applyFont="1" applyFill="1" applyAlignment="1">
      <alignment horizontal="right" vertical="center"/>
    </xf>
    <xf numFmtId="0" fontId="18" fillId="33" borderId="0" xfId="0" applyFont="1" applyFill="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3" fontId="5" fillId="33" borderId="16" xfId="0" applyNumberFormat="1" applyFont="1" applyFill="1" applyBorder="1" applyAlignment="1">
      <alignment horizontal="center" vertical="center" wrapText="1"/>
    </xf>
    <xf numFmtId="3" fontId="5" fillId="33" borderId="11" xfId="0" applyNumberFormat="1" applyFont="1" applyFill="1" applyBorder="1" applyAlignment="1">
      <alignment horizontal="center" vertical="center" wrapText="1"/>
    </xf>
    <xf numFmtId="4" fontId="5" fillId="33" borderId="14" xfId="0" applyNumberFormat="1" applyFont="1" applyFill="1" applyBorder="1" applyAlignment="1">
      <alignment horizontal="center" vertical="center" wrapText="1"/>
    </xf>
    <xf numFmtId="4" fontId="5" fillId="33" borderId="15" xfId="0" applyNumberFormat="1"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1" xfId="0" applyFont="1" applyFill="1" applyBorder="1" applyAlignment="1">
      <alignment horizontal="center" vertical="center" wrapText="1"/>
    </xf>
    <xf numFmtId="4" fontId="5" fillId="33" borderId="16" xfId="0" applyNumberFormat="1" applyFont="1" applyFill="1" applyBorder="1" applyAlignment="1">
      <alignment horizontal="center" vertical="center" wrapText="1"/>
    </xf>
    <xf numFmtId="4" fontId="5" fillId="33" borderId="11" xfId="0" applyNumberFormat="1" applyFont="1" applyFill="1" applyBorder="1" applyAlignment="1">
      <alignment horizontal="center" vertical="center" wrapText="1"/>
    </xf>
    <xf numFmtId="4" fontId="19" fillId="32" borderId="13" xfId="0" applyNumberFormat="1" applyFont="1" applyFill="1" applyBorder="1" applyAlignment="1">
      <alignment horizontal="center" vertical="center"/>
    </xf>
    <xf numFmtId="3" fontId="19" fillId="32" borderId="13" xfId="0" applyNumberFormat="1" applyFont="1" applyFill="1" applyBorder="1" applyAlignment="1">
      <alignment horizontal="center" vertical="center"/>
    </xf>
    <xf numFmtId="0" fontId="42" fillId="33" borderId="23" xfId="0" applyFont="1" applyFill="1" applyBorder="1" applyAlignment="1">
      <alignment horizontal="center" vertical="center"/>
    </xf>
    <xf numFmtId="4" fontId="34" fillId="33" borderId="16" xfId="0" applyNumberFormat="1" applyFont="1" applyFill="1" applyBorder="1" applyAlignment="1">
      <alignment horizontal="center" vertical="center" wrapText="1"/>
    </xf>
    <xf numFmtId="4" fontId="34" fillId="33" borderId="11" xfId="0" applyNumberFormat="1" applyFont="1" applyFill="1" applyBorder="1" applyAlignment="1">
      <alignment horizontal="center" vertical="center" wrapText="1"/>
    </xf>
    <xf numFmtId="9" fontId="34" fillId="33" borderId="16" xfId="0" applyNumberFormat="1" applyFont="1" applyFill="1" applyBorder="1" applyAlignment="1">
      <alignment horizontal="center" vertical="center" wrapText="1"/>
    </xf>
    <xf numFmtId="9" fontId="34" fillId="33" borderId="11" xfId="0" applyNumberFormat="1" applyFont="1" applyFill="1" applyBorder="1" applyAlignment="1">
      <alignment horizontal="center" vertical="center" wrapText="1"/>
    </xf>
    <xf numFmtId="9" fontId="34" fillId="33" borderId="13" xfId="0" applyNumberFormat="1" applyFont="1" applyFill="1" applyBorder="1" applyAlignment="1">
      <alignment horizontal="center" vertical="center" wrapText="1"/>
    </xf>
    <xf numFmtId="4" fontId="34" fillId="33" borderId="24" xfId="0" applyNumberFormat="1" applyFont="1" applyFill="1" applyBorder="1" applyAlignment="1">
      <alignment horizontal="center" vertical="center" wrapText="1"/>
    </xf>
    <xf numFmtId="4" fontId="34" fillId="33" borderId="20" xfId="0" applyNumberFormat="1" applyFont="1" applyFill="1" applyBorder="1" applyAlignment="1">
      <alignment horizontal="center" vertical="center" wrapText="1"/>
    </xf>
    <xf numFmtId="4" fontId="34" fillId="33" borderId="25" xfId="0" applyNumberFormat="1" applyFont="1" applyFill="1" applyBorder="1" applyAlignment="1">
      <alignment horizontal="center" vertical="center" wrapText="1"/>
    </xf>
    <xf numFmtId="3" fontId="34" fillId="33" borderId="16" xfId="0" applyNumberFormat="1" applyFont="1" applyFill="1" applyBorder="1" applyAlignment="1">
      <alignment horizontal="center" vertical="center" wrapText="1"/>
    </xf>
    <xf numFmtId="3" fontId="34" fillId="33" borderId="11" xfId="0" applyNumberFormat="1" applyFont="1" applyFill="1" applyBorder="1" applyAlignment="1">
      <alignment horizontal="center" vertical="center" wrapText="1"/>
    </xf>
    <xf numFmtId="9" fontId="18" fillId="33" borderId="0" xfId="0" applyNumberFormat="1" applyFont="1" applyFill="1" applyAlignment="1">
      <alignment horizontal="center" vertical="center"/>
    </xf>
    <xf numFmtId="4" fontId="34" fillId="33" borderId="13" xfId="0" applyNumberFormat="1" applyFont="1" applyFill="1" applyBorder="1" applyAlignment="1">
      <alignment horizontal="center" vertical="center" wrapText="1"/>
    </xf>
    <xf numFmtId="3" fontId="34" fillId="33" borderId="24" xfId="0" applyNumberFormat="1" applyFont="1" applyFill="1" applyBorder="1" applyAlignment="1">
      <alignment horizontal="center" vertical="center" wrapText="1"/>
    </xf>
    <xf numFmtId="3" fontId="34" fillId="33" borderId="20" xfId="0" applyNumberFormat="1" applyFont="1" applyFill="1" applyBorder="1" applyAlignment="1">
      <alignment horizontal="center" vertical="center" wrapText="1"/>
    </xf>
    <xf numFmtId="0" fontId="34" fillId="33" borderId="13" xfId="0" applyFont="1" applyFill="1" applyBorder="1" applyAlignment="1">
      <alignment horizontal="center" vertical="center" wrapText="1"/>
    </xf>
    <xf numFmtId="9" fontId="42" fillId="33" borderId="23" xfId="0" applyNumberFormat="1" applyFont="1" applyFill="1" applyBorder="1" applyAlignment="1">
      <alignment horizontal="center" vertical="center" wrapText="1"/>
    </xf>
    <xf numFmtId="3" fontId="34" fillId="33" borderId="13" xfId="0" applyNumberFormat="1" applyFont="1" applyFill="1" applyBorder="1" applyAlignment="1">
      <alignment horizontal="center" vertical="center" wrapText="1"/>
    </xf>
    <xf numFmtId="177" fontId="34" fillId="33" borderId="16" xfId="0" applyNumberFormat="1" applyFont="1" applyFill="1" applyBorder="1" applyAlignment="1">
      <alignment horizontal="center" vertical="center" wrapText="1"/>
    </xf>
    <xf numFmtId="177" fontId="34" fillId="33" borderId="11" xfId="0" applyNumberFormat="1" applyFont="1" applyFill="1" applyBorder="1" applyAlignment="1">
      <alignment horizontal="center" vertical="center" wrapText="1"/>
    </xf>
    <xf numFmtId="3" fontId="18" fillId="33" borderId="0" xfId="0" applyNumberFormat="1" applyFont="1" applyFill="1" applyAlignment="1">
      <alignment horizontal="center" vertical="center" wrapText="1"/>
    </xf>
    <xf numFmtId="3" fontId="14" fillId="33" borderId="13" xfId="0" applyNumberFormat="1" applyFont="1" applyFill="1" applyBorder="1" applyAlignment="1">
      <alignment horizontal="center" vertical="center" wrapText="1"/>
    </xf>
    <xf numFmtId="4" fontId="14" fillId="33" borderId="16" xfId="0" applyNumberFormat="1" applyFont="1" applyFill="1" applyBorder="1" applyAlignment="1">
      <alignment horizontal="center" vertical="center" wrapText="1"/>
    </xf>
    <xf numFmtId="4" fontId="14" fillId="33" borderId="18" xfId="0" applyNumberFormat="1" applyFont="1" applyFill="1" applyBorder="1" applyAlignment="1">
      <alignment horizontal="center" vertical="center" wrapText="1"/>
    </xf>
    <xf numFmtId="4" fontId="14" fillId="33" borderId="11" xfId="0" applyNumberFormat="1" applyFont="1" applyFill="1" applyBorder="1" applyAlignment="1">
      <alignment horizontal="center" vertical="center" wrapText="1"/>
    </xf>
    <xf numFmtId="9" fontId="18" fillId="33" borderId="0" xfId="0" applyNumberFormat="1" applyFont="1" applyFill="1" applyAlignment="1">
      <alignment horizontal="right" vertical="center"/>
    </xf>
    <xf numFmtId="0" fontId="14" fillId="33" borderId="13" xfId="0" applyFont="1" applyFill="1" applyBorder="1" applyAlignment="1">
      <alignment horizontal="center" vertical="center" wrapText="1"/>
    </xf>
    <xf numFmtId="9" fontId="14" fillId="33" borderId="13" xfId="0" applyNumberFormat="1" applyFont="1" applyFill="1" applyBorder="1" applyAlignment="1">
      <alignment horizontal="center" vertical="center" wrapText="1"/>
    </xf>
    <xf numFmtId="9" fontId="14" fillId="33" borderId="16" xfId="0" applyNumberFormat="1" applyFont="1" applyFill="1" applyBorder="1" applyAlignment="1">
      <alignment horizontal="center" vertical="center" wrapText="1"/>
    </xf>
    <xf numFmtId="9" fontId="14" fillId="33" borderId="18" xfId="0" applyNumberFormat="1" applyFont="1" applyFill="1" applyBorder="1" applyAlignment="1">
      <alignment horizontal="center" vertical="center" wrapText="1"/>
    </xf>
    <xf numFmtId="9" fontId="14" fillId="33" borderId="11" xfId="0" applyNumberFormat="1" applyFont="1" applyFill="1" applyBorder="1" applyAlignment="1">
      <alignment horizontal="center" vertical="center" wrapText="1"/>
    </xf>
    <xf numFmtId="4" fontId="14" fillId="33" borderId="13" xfId="0" applyNumberFormat="1" applyFont="1" applyFill="1" applyBorder="1" applyAlignment="1">
      <alignment horizontal="center" vertical="center" wrapText="1"/>
    </xf>
    <xf numFmtId="9" fontId="42" fillId="33" borderId="23" xfId="0" applyNumberFormat="1" applyFont="1" applyFill="1" applyBorder="1" applyAlignment="1">
      <alignment horizontal="center" vertical="center"/>
    </xf>
    <xf numFmtId="3" fontId="14" fillId="33" borderId="24" xfId="0" applyNumberFormat="1" applyFont="1" applyFill="1" applyBorder="1" applyAlignment="1">
      <alignment horizontal="center" vertical="center" wrapText="1"/>
    </xf>
    <xf numFmtId="3" fontId="14" fillId="33" borderId="20" xfId="0" applyNumberFormat="1" applyFont="1" applyFill="1" applyBorder="1" applyAlignment="1">
      <alignment horizontal="center" vertical="center" wrapText="1"/>
    </xf>
    <xf numFmtId="0" fontId="28" fillId="33" borderId="0" xfId="115" applyFont="1" applyFill="1" applyAlignment="1">
      <alignment horizontal="center" vertical="center"/>
      <protection/>
    </xf>
    <xf numFmtId="3" fontId="14" fillId="33" borderId="26" xfId="0" applyNumberFormat="1" applyFont="1" applyFill="1" applyBorder="1" applyAlignment="1">
      <alignment horizontal="center" vertical="center" wrapText="1"/>
    </xf>
    <xf numFmtId="3" fontId="14" fillId="33" borderId="22" xfId="0" applyNumberFormat="1" applyFont="1" applyFill="1" applyBorder="1" applyAlignment="1">
      <alignment horizontal="center" vertical="center" wrapText="1"/>
    </xf>
    <xf numFmtId="3" fontId="14" fillId="33" borderId="27" xfId="0" applyNumberFormat="1" applyFont="1" applyFill="1" applyBorder="1" applyAlignment="1">
      <alignment horizontal="center" vertical="center" wrapText="1"/>
    </xf>
    <xf numFmtId="3" fontId="14" fillId="33" borderId="16" xfId="0" applyNumberFormat="1" applyFont="1" applyFill="1" applyBorder="1" applyAlignment="1">
      <alignment horizontal="center" vertical="center" wrapText="1"/>
    </xf>
    <xf numFmtId="3" fontId="14" fillId="33" borderId="18" xfId="0" applyNumberFormat="1" applyFont="1" applyFill="1" applyBorder="1" applyAlignment="1">
      <alignment horizontal="center" vertical="center" wrapText="1"/>
    </xf>
    <xf numFmtId="3" fontId="14" fillId="33" borderId="11" xfId="0" applyNumberFormat="1" applyFont="1" applyFill="1" applyBorder="1" applyAlignment="1">
      <alignment horizontal="center" vertical="center" wrapText="1"/>
    </xf>
    <xf numFmtId="0" fontId="14" fillId="33" borderId="24"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37" fillId="33" borderId="0" xfId="0" applyFont="1" applyFill="1" applyAlignment="1">
      <alignment horizontal="center" vertical="center"/>
    </xf>
    <xf numFmtId="0" fontId="20" fillId="33" borderId="23" xfId="0" applyFont="1" applyFill="1" applyBorder="1" applyAlignment="1">
      <alignment horizontal="right" vertical="center"/>
    </xf>
    <xf numFmtId="0" fontId="20" fillId="33" borderId="0" xfId="0" applyFont="1" applyFill="1" applyAlignment="1">
      <alignment horizontal="center" vertical="center"/>
    </xf>
  </cellXfs>
  <cellStyles count="115">
    <cellStyle name="Normal" xfId="0"/>
    <cellStyle name="&#13;&#10;JournalTemplate=C:\COMFO\CTALK\JOURSTD.TPL&#13;&#10;LbStateAddress=3 3 0 251 1 89 2 311&#13;&#10;LbStateJou" xfId="15"/>
    <cellStyle name="&#13;&#10;JournalTemplate=C:\COMFO\CTALK\JOURSTD.TPL&#13;&#10;LbStateAddress=3 3 0 251 1 89 2 311&#13;&#10;LbStateJou 2" xfId="16"/>
    <cellStyle name="&#13;&#10;JournalTemplate=C:\COMFO\CTALK\JOURSTD.TPL&#13;&#10;LbStateAddress=3 3 0 251 1 89 2 311&#13;&#10;LbStateJou 3"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Bình thường 3" xfId="43"/>
    <cellStyle name="Bình thường 4" xfId="44"/>
    <cellStyle name="Calculation" xfId="45"/>
    <cellStyle name="Comma" xfId="46"/>
    <cellStyle name="Comma [0]" xfId="47"/>
    <cellStyle name="Comma [0] 12" xfId="48"/>
    <cellStyle name="Comma [0] 2" xfId="49"/>
    <cellStyle name="Comma 10" xfId="50"/>
    <cellStyle name="Comma 10 10" xfId="51"/>
    <cellStyle name="Comma 10 2" xfId="52"/>
    <cellStyle name="Comma 14" xfId="53"/>
    <cellStyle name="Comma 16 3" xfId="54"/>
    <cellStyle name="Comma 2" xfId="55"/>
    <cellStyle name="Comma 2 28" xfId="56"/>
    <cellStyle name="Comma 28" xfId="57"/>
    <cellStyle name="Comma 3" xfId="58"/>
    <cellStyle name="Comma 32" xfId="59"/>
    <cellStyle name="Comma 4" xfId="60"/>
    <cellStyle name="Comma 5" xfId="61"/>
    <cellStyle name="Comma 6" xfId="62"/>
    <cellStyle name="Comma 7" xfId="63"/>
    <cellStyle name="Comma 76" xfId="64"/>
    <cellStyle name="Comma 8" xfId="65"/>
    <cellStyle name="Comma 9" xfId="66"/>
    <cellStyle name="Currency" xfId="67"/>
    <cellStyle name="Currency [0]" xfId="68"/>
    <cellStyle name="Check Cell" xfId="69"/>
    <cellStyle name="Dấu_phảy 2" xfId="70"/>
    <cellStyle name="Explanatory Text" xfId="71"/>
    <cellStyle name="Good" xfId="72"/>
    <cellStyle name="Heading 1" xfId="73"/>
    <cellStyle name="Heading 2" xfId="74"/>
    <cellStyle name="Heading 3" xfId="75"/>
    <cellStyle name="Heading 4" xfId="76"/>
    <cellStyle name="Hyperlink" xfId="77"/>
    <cellStyle name="Input" xfId="78"/>
    <cellStyle name="Kiểu 1" xfId="79"/>
    <cellStyle name="Ledger 17 x 11 in 3" xfId="80"/>
    <cellStyle name="Linked Cell" xfId="81"/>
    <cellStyle name="Neutral" xfId="82"/>
    <cellStyle name="Normal 10" xfId="83"/>
    <cellStyle name="Normal 10 2" xfId="84"/>
    <cellStyle name="Normal 10 2 2" xfId="85"/>
    <cellStyle name="Normal 11 2" xfId="86"/>
    <cellStyle name="Normal 13" xfId="87"/>
    <cellStyle name="Normal 16 2" xfId="88"/>
    <cellStyle name="Normal 19 2" xfId="89"/>
    <cellStyle name="Normal 19 2 2" xfId="90"/>
    <cellStyle name="Normal 19 3" xfId="91"/>
    <cellStyle name="Normal 2" xfId="92"/>
    <cellStyle name="Normal 2 2" xfId="93"/>
    <cellStyle name="Normal 2 4" xfId="94"/>
    <cellStyle name="Normal 2_30_210_2_trinhhdndpchuanqt" xfId="95"/>
    <cellStyle name="Normal 22" xfId="96"/>
    <cellStyle name="Normal 22 2 2" xfId="97"/>
    <cellStyle name="Normal 28 2 3" xfId="98"/>
    <cellStyle name="Normal 3" xfId="99"/>
    <cellStyle name="Normal 3 4" xfId="100"/>
    <cellStyle name="Normal 33" xfId="101"/>
    <cellStyle name="Normal 34" xfId="102"/>
    <cellStyle name="Normal 34 2" xfId="103"/>
    <cellStyle name="Normal 4" xfId="104"/>
    <cellStyle name="Normal 4 2" xfId="105"/>
    <cellStyle name="Normal 4 3" xfId="106"/>
    <cellStyle name="Normal 5" xfId="107"/>
    <cellStyle name="Normal 5 2" xfId="108"/>
    <cellStyle name="Normal 53" xfId="109"/>
    <cellStyle name="Normal 6" xfId="110"/>
    <cellStyle name="Normal 7" xfId="111"/>
    <cellStyle name="Normal 7 2" xfId="112"/>
    <cellStyle name="Normal 8" xfId="113"/>
    <cellStyle name="Normal 9" xfId="114"/>
    <cellStyle name="Normal_mẫu biểu theo TT342" xfId="115"/>
    <cellStyle name="Note" xfId="116"/>
    <cellStyle name="Output" xfId="117"/>
    <cellStyle name="Percent" xfId="118"/>
    <cellStyle name="Percent 2" xfId="119"/>
    <cellStyle name="Percent 2 2" xfId="120"/>
    <cellStyle name="Percent 3" xfId="121"/>
    <cellStyle name="Style 1" xfId="122"/>
    <cellStyle name="Style 1 2 2" xfId="123"/>
    <cellStyle name="Style 1 3" xfId="124"/>
    <cellStyle name="Style 1 4" xfId="125"/>
    <cellStyle name="Title" xfId="126"/>
    <cellStyle name="Total" xfId="127"/>
    <cellStyle name="Warning Text"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J44"/>
  <sheetViews>
    <sheetView view="pageBreakPreview" zoomScale="90" zoomScaleNormal="85" zoomScaleSheetLayoutView="90" zoomScalePageLayoutView="0" workbookViewId="0" topLeftCell="A1">
      <selection activeCell="C11" sqref="C11"/>
    </sheetView>
  </sheetViews>
  <sheetFormatPr defaultColWidth="9.140625" defaultRowHeight="15"/>
  <cols>
    <col min="1" max="1" width="6.28125" style="154" customWidth="1"/>
    <col min="2" max="2" width="50.8515625" style="154" customWidth="1"/>
    <col min="3" max="3" width="15.8515625" style="202" customWidth="1"/>
    <col min="4" max="4" width="19.421875" style="203" customWidth="1"/>
    <col min="5" max="6" width="15.8515625" style="154" customWidth="1"/>
    <col min="7" max="7" width="13.57421875" style="154" customWidth="1"/>
    <col min="8" max="8" width="12.7109375" style="154" customWidth="1"/>
    <col min="9" max="9" width="12.140625" style="154" customWidth="1"/>
    <col min="10" max="10" width="13.57421875" style="154" customWidth="1"/>
    <col min="11" max="16384" width="9.140625" style="154" customWidth="1"/>
  </cols>
  <sheetData>
    <row r="1" spans="3:6" s="211" customFormat="1" ht="16.5">
      <c r="C1" s="212"/>
      <c r="D1" s="352"/>
      <c r="E1" s="457" t="s">
        <v>9</v>
      </c>
      <c r="F1" s="457"/>
    </row>
    <row r="2" spans="1:6" s="211" customFormat="1" ht="42" customHeight="1">
      <c r="A2" s="458" t="s">
        <v>350</v>
      </c>
      <c r="B2" s="458"/>
      <c r="C2" s="458"/>
      <c r="D2" s="458"/>
      <c r="E2" s="458"/>
      <c r="F2" s="458"/>
    </row>
    <row r="3" spans="1:6" s="211" customFormat="1" ht="16.5">
      <c r="A3" s="459" t="s">
        <v>395</v>
      </c>
      <c r="B3" s="459"/>
      <c r="C3" s="459"/>
      <c r="D3" s="459"/>
      <c r="E3" s="459"/>
      <c r="F3" s="459"/>
    </row>
    <row r="4" spans="1:6" s="211" customFormat="1" ht="16.5">
      <c r="A4" s="374"/>
      <c r="B4" s="374"/>
      <c r="C4" s="374"/>
      <c r="D4" s="342"/>
      <c r="E4" s="374"/>
      <c r="F4" s="374"/>
    </row>
    <row r="5" spans="3:6" s="211" customFormat="1" ht="16.5">
      <c r="C5" s="212"/>
      <c r="D5" s="352"/>
      <c r="F5" s="213" t="s">
        <v>117</v>
      </c>
    </row>
    <row r="6" spans="1:6" ht="20.25" customHeight="1">
      <c r="A6" s="461" t="s">
        <v>113</v>
      </c>
      <c r="B6" s="461" t="s">
        <v>249</v>
      </c>
      <c r="C6" s="462" t="s">
        <v>8</v>
      </c>
      <c r="D6" s="463" t="s">
        <v>37</v>
      </c>
      <c r="E6" s="461" t="s">
        <v>152</v>
      </c>
      <c r="F6" s="461"/>
    </row>
    <row r="7" spans="1:6" ht="15.75">
      <c r="A7" s="461"/>
      <c r="B7" s="461"/>
      <c r="C7" s="462"/>
      <c r="D7" s="463"/>
      <c r="E7" s="375" t="s">
        <v>153</v>
      </c>
      <c r="F7" s="375" t="s">
        <v>201</v>
      </c>
    </row>
    <row r="8" spans="1:6" ht="15.75">
      <c r="A8" s="67" t="s">
        <v>115</v>
      </c>
      <c r="B8" s="67" t="s">
        <v>116</v>
      </c>
      <c r="C8" s="157">
        <v>1</v>
      </c>
      <c r="D8" s="157">
        <v>2</v>
      </c>
      <c r="E8" s="67" t="s">
        <v>188</v>
      </c>
      <c r="F8" s="67" t="s">
        <v>189</v>
      </c>
    </row>
    <row r="9" spans="1:10" ht="15.75">
      <c r="A9" s="68" t="s">
        <v>115</v>
      </c>
      <c r="B9" s="69" t="s">
        <v>154</v>
      </c>
      <c r="C9" s="70">
        <f>SUM(C10,C14,C17,C18,C19)</f>
        <v>10875556</v>
      </c>
      <c r="D9" s="71">
        <f>SUM(D10,D14,D17,D18,D19)</f>
        <v>14849076.531531</v>
      </c>
      <c r="E9" s="71">
        <f>D9-C9</f>
        <v>3973520.5315310005</v>
      </c>
      <c r="F9" s="72">
        <f>D9/C9</f>
        <v>1.3653625186179907</v>
      </c>
      <c r="G9" s="204"/>
      <c r="I9" s="203"/>
      <c r="J9" s="203"/>
    </row>
    <row r="10" spans="1:10" ht="15.75">
      <c r="A10" s="73" t="s">
        <v>123</v>
      </c>
      <c r="B10" s="74" t="s">
        <v>190</v>
      </c>
      <c r="C10" s="75">
        <f>SUM(C11:C13)</f>
        <v>2196800</v>
      </c>
      <c r="D10" s="76">
        <f>SUM(D11:D13)</f>
        <v>1439453.091745</v>
      </c>
      <c r="E10" s="76">
        <f aca="true" t="shared" si="0" ref="E10:E42">D10-C10</f>
        <v>-757346.9082549999</v>
      </c>
      <c r="F10" s="77">
        <f aca="true" t="shared" si="1" ref="F10:F42">D10/C10</f>
        <v>0.655249950721504</v>
      </c>
      <c r="G10" s="204"/>
      <c r="H10" s="205"/>
      <c r="I10" s="205"/>
      <c r="J10" s="205"/>
    </row>
    <row r="11" spans="1:10" ht="15.75">
      <c r="A11" s="60"/>
      <c r="B11" s="61" t="s">
        <v>5</v>
      </c>
      <c r="C11" s="78">
        <v>1707800</v>
      </c>
      <c r="D11" s="79">
        <v>969232.2290619999</v>
      </c>
      <c r="E11" s="79">
        <f t="shared" si="0"/>
        <v>-738567.7709380001</v>
      </c>
      <c r="F11" s="80">
        <f t="shared" si="1"/>
        <v>0.5675326320775266</v>
      </c>
      <c r="G11" s="204"/>
      <c r="H11" s="205"/>
      <c r="I11" s="205"/>
      <c r="J11" s="205"/>
    </row>
    <row r="12" spans="1:7" ht="15.75">
      <c r="A12" s="60"/>
      <c r="B12" s="61" t="s">
        <v>6</v>
      </c>
      <c r="C12" s="78">
        <v>489000</v>
      </c>
      <c r="D12" s="79">
        <v>469639.45553100004</v>
      </c>
      <c r="E12" s="79">
        <f t="shared" si="0"/>
        <v>-19360.544468999957</v>
      </c>
      <c r="F12" s="80">
        <f t="shared" si="1"/>
        <v>0.9604078845214725</v>
      </c>
      <c r="G12" s="203"/>
    </row>
    <row r="13" spans="1:7" ht="15.75">
      <c r="A13" s="60"/>
      <c r="B13" s="61" t="s">
        <v>349</v>
      </c>
      <c r="C13" s="78"/>
      <c r="D13" s="79">
        <v>581.407152</v>
      </c>
      <c r="E13" s="79"/>
      <c r="F13" s="80"/>
      <c r="G13" s="203"/>
    </row>
    <row r="14" spans="1:6" ht="15.75">
      <c r="A14" s="73" t="s">
        <v>119</v>
      </c>
      <c r="B14" s="74" t="s">
        <v>38</v>
      </c>
      <c r="C14" s="75">
        <f>SUM(C15:C16)</f>
        <v>8678756</v>
      </c>
      <c r="D14" s="76">
        <f>SUM(D15:D16)</f>
        <v>10731528.411076</v>
      </c>
      <c r="E14" s="76">
        <f t="shared" si="0"/>
        <v>2052772.411076</v>
      </c>
      <c r="F14" s="77">
        <f t="shared" si="1"/>
        <v>1.236528416178079</v>
      </c>
    </row>
    <row r="15" spans="1:6" ht="15.75">
      <c r="A15" s="60"/>
      <c r="B15" s="61" t="s">
        <v>3</v>
      </c>
      <c r="C15" s="78">
        <v>7352709</v>
      </c>
      <c r="D15" s="353">
        <v>7352709</v>
      </c>
      <c r="E15" s="79">
        <f t="shared" si="0"/>
        <v>0</v>
      </c>
      <c r="F15" s="80">
        <f t="shared" si="1"/>
        <v>1</v>
      </c>
    </row>
    <row r="16" spans="1:6" ht="15.75">
      <c r="A16" s="60"/>
      <c r="B16" s="61" t="s">
        <v>4</v>
      </c>
      <c r="C16" s="78">
        <v>1326047</v>
      </c>
      <c r="D16" s="354">
        <v>3378819.411076</v>
      </c>
      <c r="E16" s="79">
        <f t="shared" si="0"/>
        <v>2052772.411076</v>
      </c>
      <c r="F16" s="80">
        <f t="shared" si="1"/>
        <v>2.548038954181865</v>
      </c>
    </row>
    <row r="17" spans="1:6" ht="15.75">
      <c r="A17" s="73" t="s">
        <v>120</v>
      </c>
      <c r="B17" s="74" t="s">
        <v>151</v>
      </c>
      <c r="C17" s="78"/>
      <c r="D17" s="82">
        <v>92.024478</v>
      </c>
      <c r="E17" s="76">
        <f t="shared" si="0"/>
        <v>92.024478</v>
      </c>
      <c r="F17" s="80"/>
    </row>
    <row r="18" spans="1:6" ht="15.75">
      <c r="A18" s="73" t="s">
        <v>121</v>
      </c>
      <c r="B18" s="74" t="s">
        <v>155</v>
      </c>
      <c r="C18" s="78"/>
      <c r="D18" s="82">
        <v>2565231.745284</v>
      </c>
      <c r="E18" s="76">
        <f t="shared" si="0"/>
        <v>2565231.745284</v>
      </c>
      <c r="F18" s="80"/>
    </row>
    <row r="19" spans="1:6" ht="15.75">
      <c r="A19" s="73" t="s">
        <v>226</v>
      </c>
      <c r="B19" s="74" t="s">
        <v>212</v>
      </c>
      <c r="C19" s="78"/>
      <c r="D19" s="82">
        <v>112771.258948</v>
      </c>
      <c r="E19" s="76">
        <f t="shared" si="0"/>
        <v>112771.258948</v>
      </c>
      <c r="F19" s="80"/>
    </row>
    <row r="20" spans="1:10" ht="15.75">
      <c r="A20" s="73" t="s">
        <v>116</v>
      </c>
      <c r="B20" s="74" t="s">
        <v>125</v>
      </c>
      <c r="C20" s="75">
        <f>SUM(C21,C28,C31,C32)</f>
        <v>10899756</v>
      </c>
      <c r="D20" s="76">
        <f>SUM(D21,D28,D31,D32)</f>
        <v>14861813.421392001</v>
      </c>
      <c r="E20" s="76">
        <f t="shared" si="0"/>
        <v>3962057.421392001</v>
      </c>
      <c r="F20" s="77">
        <f t="shared" si="1"/>
        <v>1.363499643605967</v>
      </c>
      <c r="G20" s="206"/>
      <c r="H20" s="204"/>
      <c r="I20" s="204"/>
      <c r="J20" s="203"/>
    </row>
    <row r="21" spans="1:9" ht="15.75">
      <c r="A21" s="73" t="s">
        <v>123</v>
      </c>
      <c r="B21" s="74" t="s">
        <v>39</v>
      </c>
      <c r="C21" s="75">
        <f>SUM(C22:C27)</f>
        <v>9573709</v>
      </c>
      <c r="D21" s="76">
        <f>SUM(D22:D27)</f>
        <v>8682607.613167</v>
      </c>
      <c r="E21" s="76">
        <f t="shared" si="0"/>
        <v>-891101.3868330009</v>
      </c>
      <c r="F21" s="77">
        <f t="shared" si="1"/>
        <v>0.9069220312803532</v>
      </c>
      <c r="G21" s="206"/>
      <c r="H21" s="204"/>
      <c r="I21" s="205"/>
    </row>
    <row r="22" spans="1:7" ht="15.75">
      <c r="A22" s="60">
        <v>1</v>
      </c>
      <c r="B22" s="61" t="s">
        <v>191</v>
      </c>
      <c r="C22" s="78">
        <v>1897430</v>
      </c>
      <c r="D22" s="79">
        <v>1056822.558435</v>
      </c>
      <c r="E22" s="79">
        <f t="shared" si="0"/>
        <v>-840607.441565</v>
      </c>
      <c r="F22" s="80">
        <f t="shared" si="1"/>
        <v>0.5569757822080393</v>
      </c>
      <c r="G22" s="206"/>
    </row>
    <row r="23" spans="1:8" ht="15.75">
      <c r="A23" s="60">
        <v>2</v>
      </c>
      <c r="B23" s="61" t="s">
        <v>126</v>
      </c>
      <c r="C23" s="78">
        <v>7474909</v>
      </c>
      <c r="D23" s="79">
        <v>7619185.797732</v>
      </c>
      <c r="E23" s="79">
        <f t="shared" si="0"/>
        <v>144276.79773200024</v>
      </c>
      <c r="F23" s="80">
        <f t="shared" si="1"/>
        <v>1.0193014788182706</v>
      </c>
      <c r="G23" s="206"/>
      <c r="H23" s="203"/>
    </row>
    <row r="24" spans="1:6" ht="15.75" customHeight="1">
      <c r="A24" s="60">
        <v>3</v>
      </c>
      <c r="B24" s="61" t="s">
        <v>127</v>
      </c>
      <c r="C24" s="78">
        <v>7500</v>
      </c>
      <c r="D24" s="79">
        <v>5599.257</v>
      </c>
      <c r="E24" s="79">
        <f t="shared" si="0"/>
        <v>-1900.7430000000004</v>
      </c>
      <c r="F24" s="80">
        <f t="shared" si="1"/>
        <v>0.7465676</v>
      </c>
    </row>
    <row r="25" spans="1:9" ht="15.75">
      <c r="A25" s="60">
        <v>4</v>
      </c>
      <c r="B25" s="61" t="s">
        <v>156</v>
      </c>
      <c r="C25" s="78">
        <v>1000</v>
      </c>
      <c r="D25" s="79">
        <v>1000</v>
      </c>
      <c r="E25" s="79">
        <f t="shared" si="0"/>
        <v>0</v>
      </c>
      <c r="F25" s="80">
        <f t="shared" si="1"/>
        <v>1</v>
      </c>
      <c r="I25" s="203"/>
    </row>
    <row r="26" spans="1:6" ht="15.75">
      <c r="A26" s="60">
        <v>5</v>
      </c>
      <c r="B26" s="61" t="s">
        <v>157</v>
      </c>
      <c r="C26" s="78">
        <v>192870</v>
      </c>
      <c r="D26" s="79"/>
      <c r="E26" s="79"/>
      <c r="F26" s="80"/>
    </row>
    <row r="27" spans="1:10" ht="15.75">
      <c r="A27" s="60">
        <v>6</v>
      </c>
      <c r="B27" s="61" t="s">
        <v>128</v>
      </c>
      <c r="C27" s="78"/>
      <c r="D27" s="79"/>
      <c r="E27" s="79"/>
      <c r="F27" s="80"/>
      <c r="G27" s="207"/>
      <c r="H27" s="207"/>
      <c r="I27" s="208"/>
      <c r="J27" s="207"/>
    </row>
    <row r="28" spans="1:10" ht="15.75">
      <c r="A28" s="73" t="s">
        <v>119</v>
      </c>
      <c r="B28" s="74" t="s">
        <v>158</v>
      </c>
      <c r="C28" s="75">
        <f>SUM(C29:C30)</f>
        <v>1326047</v>
      </c>
      <c r="D28" s="76">
        <f>SUM(D29:D30)</f>
        <v>1751534.37821</v>
      </c>
      <c r="E28" s="76">
        <f t="shared" si="0"/>
        <v>425487.37821</v>
      </c>
      <c r="F28" s="77">
        <f t="shared" si="1"/>
        <v>1.3208690025391256</v>
      </c>
      <c r="G28" s="207"/>
      <c r="H28" s="207"/>
      <c r="I28" s="208"/>
      <c r="J28" s="207"/>
    </row>
    <row r="29" spans="1:8" ht="15.75">
      <c r="A29" s="60">
        <v>1</v>
      </c>
      <c r="B29" s="61" t="s">
        <v>159</v>
      </c>
      <c r="C29" s="78"/>
      <c r="D29" s="79">
        <v>459449.06017</v>
      </c>
      <c r="E29" s="79">
        <f t="shared" si="0"/>
        <v>459449.06017</v>
      </c>
      <c r="F29" s="80"/>
      <c r="G29" s="66"/>
      <c r="H29" s="66"/>
    </row>
    <row r="30" spans="1:8" ht="15.75">
      <c r="A30" s="60">
        <v>2</v>
      </c>
      <c r="B30" s="61" t="s">
        <v>160</v>
      </c>
      <c r="C30" s="78">
        <v>1326047</v>
      </c>
      <c r="D30" s="79">
        <v>1292085.31804</v>
      </c>
      <c r="E30" s="79">
        <f t="shared" si="0"/>
        <v>-33961.68195999996</v>
      </c>
      <c r="F30" s="80">
        <f t="shared" si="1"/>
        <v>0.9743887796133923</v>
      </c>
      <c r="G30" s="66"/>
      <c r="H30" s="66"/>
    </row>
    <row r="31" spans="1:6" ht="15.75">
      <c r="A31" s="73" t="s">
        <v>120</v>
      </c>
      <c r="B31" s="74" t="s">
        <v>161</v>
      </c>
      <c r="C31" s="78"/>
      <c r="D31" s="76">
        <f>4168960.142252-444301.799364-6572.578777</f>
        <v>3718085.764111</v>
      </c>
      <c r="E31" s="76">
        <f t="shared" si="0"/>
        <v>3718085.764111</v>
      </c>
      <c r="F31" s="80"/>
    </row>
    <row r="32" spans="1:6" ht="15.75">
      <c r="A32" s="73" t="s">
        <v>121</v>
      </c>
      <c r="B32" s="74" t="s">
        <v>163</v>
      </c>
      <c r="C32" s="78"/>
      <c r="D32" s="76">
        <f>265283.86654+444301.799364</f>
        <v>709585.6659039999</v>
      </c>
      <c r="E32" s="76">
        <f t="shared" si="0"/>
        <v>709585.6659039999</v>
      </c>
      <c r="F32" s="80"/>
    </row>
    <row r="33" spans="1:6" ht="15.75" customHeight="1">
      <c r="A33" s="73" t="s">
        <v>122</v>
      </c>
      <c r="B33" s="74" t="s">
        <v>303</v>
      </c>
      <c r="C33" s="75"/>
      <c r="D33" s="76"/>
      <c r="E33" s="76"/>
      <c r="F33" s="77"/>
    </row>
    <row r="34" spans="1:6" s="66" customFormat="1" ht="15.75">
      <c r="A34" s="60"/>
      <c r="B34" s="61" t="s">
        <v>302</v>
      </c>
      <c r="C34" s="78">
        <f>C20-C9</f>
        <v>24200</v>
      </c>
      <c r="D34" s="353">
        <f>D20-D9+D36</f>
        <v>19460.5053900007</v>
      </c>
      <c r="E34" s="79">
        <f t="shared" si="0"/>
        <v>-4739.494609999299</v>
      </c>
      <c r="F34" s="80"/>
    </row>
    <row r="35" spans="1:6" s="66" customFormat="1" ht="15.75">
      <c r="A35" s="60"/>
      <c r="B35" s="61" t="s">
        <v>82</v>
      </c>
      <c r="C35" s="78"/>
      <c r="D35" s="353"/>
      <c r="E35" s="79">
        <f t="shared" si="0"/>
        <v>0</v>
      </c>
      <c r="F35" s="80"/>
    </row>
    <row r="36" spans="1:6" s="66" customFormat="1" ht="15.75">
      <c r="A36" s="60"/>
      <c r="B36" s="61" t="s">
        <v>304</v>
      </c>
      <c r="C36" s="78"/>
      <c r="D36" s="353">
        <f>151.036752+6572.578777</f>
        <v>6723.615529</v>
      </c>
      <c r="E36" s="79">
        <f t="shared" si="0"/>
        <v>6723.615529</v>
      </c>
      <c r="F36" s="80"/>
    </row>
    <row r="37" spans="1:6" s="93" customFormat="1" ht="15.75">
      <c r="A37" s="83" t="s">
        <v>124</v>
      </c>
      <c r="B37" s="81" t="s">
        <v>40</v>
      </c>
      <c r="C37" s="90">
        <f>SUM(C38:C39)</f>
        <v>9200</v>
      </c>
      <c r="D37" s="82">
        <f>SUM(D38:D39)</f>
        <v>8976.578</v>
      </c>
      <c r="E37" s="82">
        <f t="shared" si="0"/>
        <v>-223.42200000000048</v>
      </c>
      <c r="F37" s="91">
        <f t="shared" si="1"/>
        <v>0.975715</v>
      </c>
    </row>
    <row r="38" spans="1:6" s="66" customFormat="1" ht="15.75">
      <c r="A38" s="60" t="s">
        <v>123</v>
      </c>
      <c r="B38" s="61" t="s">
        <v>130</v>
      </c>
      <c r="C38" s="373">
        <v>9200</v>
      </c>
      <c r="D38" s="79">
        <v>8976.578</v>
      </c>
      <c r="E38" s="79">
        <f t="shared" si="0"/>
        <v>-223.42200000000048</v>
      </c>
      <c r="F38" s="80">
        <f t="shared" si="1"/>
        <v>0.975715</v>
      </c>
    </row>
    <row r="39" spans="1:6" s="66" customFormat="1" ht="15.75">
      <c r="A39" s="60" t="s">
        <v>119</v>
      </c>
      <c r="B39" s="61" t="s">
        <v>174</v>
      </c>
      <c r="C39" s="78"/>
      <c r="D39" s="353"/>
      <c r="E39" s="79">
        <f t="shared" si="0"/>
        <v>0</v>
      </c>
      <c r="F39" s="80"/>
    </row>
    <row r="40" spans="1:6" ht="15.75">
      <c r="A40" s="73" t="s">
        <v>129</v>
      </c>
      <c r="B40" s="74" t="s">
        <v>192</v>
      </c>
      <c r="C40" s="75">
        <f>SUM(C41:C42)</f>
        <v>33400</v>
      </c>
      <c r="D40" s="76">
        <f>SUM(D41:D42)</f>
        <v>28437.08339</v>
      </c>
      <c r="E40" s="76">
        <f t="shared" si="0"/>
        <v>-4962.91661</v>
      </c>
      <c r="F40" s="77">
        <f t="shared" si="1"/>
        <v>0.8514096823353293</v>
      </c>
    </row>
    <row r="41" spans="1:6" ht="15.75">
      <c r="A41" s="60" t="s">
        <v>123</v>
      </c>
      <c r="B41" s="61" t="s">
        <v>224</v>
      </c>
      <c r="C41" s="373">
        <v>24200</v>
      </c>
      <c r="D41" s="79">
        <v>19460.505390000002</v>
      </c>
      <c r="E41" s="79">
        <f t="shared" si="0"/>
        <v>-4739.494609999998</v>
      </c>
      <c r="F41" s="80"/>
    </row>
    <row r="42" spans="1:6" ht="19.5" customHeight="1">
      <c r="A42" s="60" t="s">
        <v>119</v>
      </c>
      <c r="B42" s="61" t="s">
        <v>225</v>
      </c>
      <c r="C42" s="373">
        <v>9200</v>
      </c>
      <c r="D42" s="79">
        <v>8976.578</v>
      </c>
      <c r="E42" s="79">
        <f t="shared" si="0"/>
        <v>-223.42200000000048</v>
      </c>
      <c r="F42" s="80">
        <f t="shared" si="1"/>
        <v>0.975715</v>
      </c>
    </row>
    <row r="43" spans="1:7" ht="16.5" customHeight="1">
      <c r="A43" s="292"/>
      <c r="B43" s="293"/>
      <c r="C43" s="294"/>
      <c r="D43" s="76"/>
      <c r="E43" s="295"/>
      <c r="F43" s="296"/>
      <c r="G43" s="203"/>
    </row>
    <row r="44" spans="1:6" ht="60" customHeight="1">
      <c r="A44" s="460"/>
      <c r="B44" s="460"/>
      <c r="C44" s="460"/>
      <c r="D44" s="460"/>
      <c r="E44" s="460"/>
      <c r="F44" s="460"/>
    </row>
  </sheetData>
  <sheetProtection/>
  <mergeCells count="9">
    <mergeCell ref="E1:F1"/>
    <mergeCell ref="A2:F2"/>
    <mergeCell ref="A3:F3"/>
    <mergeCell ref="A44:F44"/>
    <mergeCell ref="A6:A7"/>
    <mergeCell ref="B6:B7"/>
    <mergeCell ref="C6:C7"/>
    <mergeCell ref="D6:D7"/>
    <mergeCell ref="E6:F6"/>
  </mergeCells>
  <printOptions horizontalCentered="1"/>
  <pageMargins left="0" right="0" top="0.51" bottom="0.3937007874015748" header="0.5118110236220472"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theme="0"/>
  </sheetPr>
  <dimension ref="A1:EW40"/>
  <sheetViews>
    <sheetView tabSelected="1" view="pageBreakPreview" zoomScale="120" zoomScaleSheetLayoutView="120" zoomScalePageLayoutView="0" workbookViewId="0" topLeftCell="A7">
      <selection activeCell="C20" sqref="C20"/>
    </sheetView>
  </sheetViews>
  <sheetFormatPr defaultColWidth="9.140625" defaultRowHeight="15"/>
  <cols>
    <col min="1" max="1" width="6.28125" style="211" customWidth="1"/>
    <col min="2" max="2" width="42.00390625" style="211" customWidth="1"/>
    <col min="3" max="3" width="20.00390625" style="211" customWidth="1"/>
    <col min="4" max="4" width="20.57421875" style="211" bestFit="1" customWidth="1"/>
    <col min="5" max="5" width="17.57421875" style="211" bestFit="1" customWidth="1"/>
    <col min="6" max="16384" width="9.140625" style="211" customWidth="1"/>
  </cols>
  <sheetData>
    <row r="1" ht="24.75" customHeight="1">
      <c r="E1" s="255" t="s">
        <v>260</v>
      </c>
    </row>
    <row r="2" spans="1:5" ht="16.5">
      <c r="A2" s="530" t="s">
        <v>389</v>
      </c>
      <c r="B2" s="530"/>
      <c r="C2" s="530"/>
      <c r="D2" s="530"/>
      <c r="E2" s="530"/>
    </row>
    <row r="3" spans="1:5" ht="16.5">
      <c r="A3" s="530" t="s">
        <v>261</v>
      </c>
      <c r="B3" s="530"/>
      <c r="C3" s="530"/>
      <c r="D3" s="530"/>
      <c r="E3" s="530"/>
    </row>
    <row r="4" spans="1:5" ht="16.5">
      <c r="A4" s="532" t="str">
        <f>'61'!A3:AF3</f>
        <v>(Kèm theo Nghị quyết số      /NQ-HĐND ngày      tháng  6 năm 2024 của HĐND tỉnh Điện Biên)</v>
      </c>
      <c r="B4" s="532"/>
      <c r="C4" s="532"/>
      <c r="D4" s="532"/>
      <c r="E4" s="532"/>
    </row>
    <row r="5" spans="1:5" ht="16.5">
      <c r="A5" s="530"/>
      <c r="B5" s="530"/>
      <c r="C5" s="530"/>
      <c r="D5" s="530"/>
      <c r="E5" s="530"/>
    </row>
    <row r="6" spans="4:5" ht="16.5">
      <c r="D6" s="531" t="s">
        <v>117</v>
      </c>
      <c r="E6" s="531"/>
    </row>
    <row r="7" spans="1:5" s="154" customFormat="1" ht="39.75" customHeight="1">
      <c r="A7" s="256" t="s">
        <v>113</v>
      </c>
      <c r="B7" s="256" t="s">
        <v>114</v>
      </c>
      <c r="C7" s="344" t="s">
        <v>390</v>
      </c>
      <c r="D7" s="344" t="s">
        <v>391</v>
      </c>
      <c r="E7" s="256" t="s">
        <v>193</v>
      </c>
    </row>
    <row r="8" spans="1:5" s="66" customFormat="1" ht="18.75" customHeight="1">
      <c r="A8" s="67" t="s">
        <v>115</v>
      </c>
      <c r="B8" s="67" t="s">
        <v>116</v>
      </c>
      <c r="C8" s="67">
        <v>1</v>
      </c>
      <c r="D8" s="67">
        <v>2</v>
      </c>
      <c r="E8" s="67" t="s">
        <v>162</v>
      </c>
    </row>
    <row r="9" spans="1:5" s="209" customFormat="1" ht="30" customHeight="1">
      <c r="A9" s="68"/>
      <c r="B9" s="68" t="s">
        <v>228</v>
      </c>
      <c r="C9" s="266">
        <f>C10+C19+C20+C21+C24+C26+C27+C38</f>
        <v>515678</v>
      </c>
      <c r="D9" s="266">
        <f>D10+D19+D20+D21+D24+D26+D27+D38</f>
        <v>544327.085926</v>
      </c>
      <c r="E9" s="267">
        <f>D9/C9</f>
        <v>1.0555561531149285</v>
      </c>
    </row>
    <row r="10" spans="1:5" s="154" customFormat="1" ht="30" customHeight="1">
      <c r="A10" s="60">
        <v>1</v>
      </c>
      <c r="B10" s="61" t="s">
        <v>258</v>
      </c>
      <c r="C10" s="64">
        <f>C11+C13</f>
        <v>18333</v>
      </c>
      <c r="D10" s="64">
        <f>D11+D13</f>
        <v>26991.639286999998</v>
      </c>
      <c r="E10" s="268">
        <f>D10/C10</f>
        <v>1.4722980028909616</v>
      </c>
    </row>
    <row r="11" spans="1:5" s="154" customFormat="1" ht="30" customHeight="1">
      <c r="A11" s="60" t="s">
        <v>53</v>
      </c>
      <c r="B11" s="269" t="s">
        <v>342</v>
      </c>
      <c r="C11" s="265">
        <v>3020</v>
      </c>
      <c r="D11" s="265">
        <v>4638.475128</v>
      </c>
      <c r="E11" s="372">
        <f aca="true" t="shared" si="0" ref="E11:E38">D11/C11</f>
        <v>1.5359189165562914</v>
      </c>
    </row>
    <row r="12" spans="1:5" s="154" customFormat="1" ht="30" customHeight="1" hidden="1">
      <c r="A12" s="60"/>
      <c r="B12" s="269" t="s">
        <v>271</v>
      </c>
      <c r="C12" s="265">
        <v>23311</v>
      </c>
      <c r="D12" s="265">
        <v>25563.78</v>
      </c>
      <c r="E12" s="372">
        <f t="shared" si="0"/>
        <v>1.0966402127750847</v>
      </c>
    </row>
    <row r="13" spans="1:5" s="154" customFormat="1" ht="30" customHeight="1">
      <c r="A13" s="60" t="s">
        <v>53</v>
      </c>
      <c r="B13" s="269" t="s">
        <v>343</v>
      </c>
      <c r="C13" s="265">
        <v>15313</v>
      </c>
      <c r="D13" s="265">
        <v>22353.164159</v>
      </c>
      <c r="E13" s="372">
        <f t="shared" si="0"/>
        <v>1.4597508103572128</v>
      </c>
    </row>
    <row r="14" spans="1:5" s="154" customFormat="1" ht="30" customHeight="1" hidden="1">
      <c r="A14" s="60"/>
      <c r="B14" s="269" t="s">
        <v>272</v>
      </c>
      <c r="C14" s="64">
        <v>1187</v>
      </c>
      <c r="D14" s="64">
        <f>3023.5038-57.358864</f>
        <v>2966.144936</v>
      </c>
      <c r="E14" s="268">
        <f t="shared" si="0"/>
        <v>2.498858412805392</v>
      </c>
    </row>
    <row r="15" spans="1:5" s="154" customFormat="1" ht="30" customHeight="1" hidden="1">
      <c r="A15" s="60"/>
      <c r="B15" s="269" t="s">
        <v>273</v>
      </c>
      <c r="C15" s="64">
        <v>6845</v>
      </c>
      <c r="D15" s="64">
        <f>6941.630028+503.455487-54.46</f>
        <v>7390.625515</v>
      </c>
      <c r="E15" s="268">
        <f t="shared" si="0"/>
        <v>1.0797115434623812</v>
      </c>
    </row>
    <row r="16" spans="1:5" s="154" customFormat="1" ht="30" customHeight="1" hidden="1">
      <c r="A16" s="60"/>
      <c r="B16" s="269" t="s">
        <v>274</v>
      </c>
      <c r="C16" s="64">
        <v>18694</v>
      </c>
      <c r="D16" s="64">
        <v>24516</v>
      </c>
      <c r="E16" s="268">
        <f t="shared" si="0"/>
        <v>1.3114368246496202</v>
      </c>
    </row>
    <row r="17" spans="1:5" s="154" customFormat="1" ht="30" customHeight="1" hidden="1">
      <c r="A17" s="60"/>
      <c r="B17" s="269" t="s">
        <v>275</v>
      </c>
      <c r="C17" s="64">
        <v>2400</v>
      </c>
      <c r="D17" s="64">
        <v>1725</v>
      </c>
      <c r="E17" s="268">
        <f t="shared" si="0"/>
        <v>0.71875</v>
      </c>
    </row>
    <row r="18" spans="1:5" s="154" customFormat="1" ht="30" customHeight="1" hidden="1">
      <c r="A18" s="60"/>
      <c r="B18" s="269" t="s">
        <v>276</v>
      </c>
      <c r="C18" s="64">
        <v>2300</v>
      </c>
      <c r="D18" s="64">
        <v>1247.229</v>
      </c>
      <c r="E18" s="268">
        <f t="shared" si="0"/>
        <v>0.5422734782608696</v>
      </c>
    </row>
    <row r="19" spans="1:5" s="154" customFormat="1" ht="30" customHeight="1">
      <c r="A19" s="60">
        <v>2</v>
      </c>
      <c r="B19" s="61" t="s">
        <v>277</v>
      </c>
      <c r="C19" s="64">
        <v>150</v>
      </c>
      <c r="D19" s="64">
        <v>553.46</v>
      </c>
      <c r="E19" s="268">
        <f t="shared" si="0"/>
        <v>3.6897333333333338</v>
      </c>
    </row>
    <row r="20" spans="1:5" s="154" customFormat="1" ht="30" customHeight="1">
      <c r="A20" s="60">
        <v>3</v>
      </c>
      <c r="B20" s="61" t="s">
        <v>0</v>
      </c>
      <c r="C20" s="64">
        <v>453157</v>
      </c>
      <c r="D20" s="64">
        <v>472651</v>
      </c>
      <c r="E20" s="268">
        <f t="shared" si="0"/>
        <v>1.0430182034041182</v>
      </c>
    </row>
    <row r="21" spans="1:5" s="154" customFormat="1" ht="30" customHeight="1">
      <c r="A21" s="60">
        <v>4</v>
      </c>
      <c r="B21" s="61" t="s">
        <v>259</v>
      </c>
      <c r="C21" s="64">
        <v>379</v>
      </c>
      <c r="D21" s="64">
        <v>538.503</v>
      </c>
      <c r="E21" s="268">
        <f t="shared" si="0"/>
        <v>1.4208522427440635</v>
      </c>
    </row>
    <row r="22" spans="1:5" s="286" customFormat="1" ht="30" customHeight="1" hidden="1">
      <c r="A22" s="270"/>
      <c r="B22" s="269" t="s">
        <v>278</v>
      </c>
      <c r="C22" s="265">
        <v>33</v>
      </c>
      <c r="D22" s="265">
        <v>38</v>
      </c>
      <c r="E22" s="268">
        <f t="shared" si="0"/>
        <v>1.1515151515151516</v>
      </c>
    </row>
    <row r="23" spans="1:5" s="286" customFormat="1" ht="30" customHeight="1" hidden="1">
      <c r="A23" s="270"/>
      <c r="B23" s="269" t="s">
        <v>279</v>
      </c>
      <c r="C23" s="265">
        <v>382</v>
      </c>
      <c r="D23" s="265">
        <v>100</v>
      </c>
      <c r="E23" s="268">
        <f t="shared" si="0"/>
        <v>0.2617801047120419</v>
      </c>
    </row>
    <row r="24" spans="1:5" s="154" customFormat="1" ht="30" customHeight="1">
      <c r="A24" s="60">
        <v>5</v>
      </c>
      <c r="B24" s="61" t="s">
        <v>262</v>
      </c>
      <c r="C24" s="64">
        <v>5488</v>
      </c>
      <c r="D24" s="64">
        <v>7006</v>
      </c>
      <c r="E24" s="268">
        <f t="shared" si="0"/>
        <v>1.276603498542274</v>
      </c>
    </row>
    <row r="25" spans="1:5" s="286" customFormat="1" ht="30" customHeight="1" hidden="1">
      <c r="A25" s="270"/>
      <c r="B25" s="269" t="s">
        <v>280</v>
      </c>
      <c r="C25" s="265">
        <v>4600</v>
      </c>
      <c r="D25" s="265">
        <v>6271</v>
      </c>
      <c r="E25" s="268">
        <f t="shared" si="0"/>
        <v>1.3632608695652173</v>
      </c>
    </row>
    <row r="26" spans="1:5" s="154" customFormat="1" ht="30" customHeight="1">
      <c r="A26" s="60">
        <v>6</v>
      </c>
      <c r="B26" s="61" t="s">
        <v>263</v>
      </c>
      <c r="C26" s="64">
        <v>45</v>
      </c>
      <c r="D26" s="64">
        <v>23.785000000000004</v>
      </c>
      <c r="E26" s="268">
        <f t="shared" si="0"/>
        <v>0.5285555555555557</v>
      </c>
    </row>
    <row r="27" spans="1:5" s="287" customFormat="1" ht="30" customHeight="1">
      <c r="A27" s="60">
        <v>7</v>
      </c>
      <c r="B27" s="61" t="s">
        <v>281</v>
      </c>
      <c r="C27" s="64">
        <v>32442</v>
      </c>
      <c r="D27" s="64">
        <v>34103.698638999995</v>
      </c>
      <c r="E27" s="268">
        <f t="shared" si="0"/>
        <v>1.0512205979594351</v>
      </c>
    </row>
    <row r="28" spans="1:5" s="288" customFormat="1" ht="30" customHeight="1" hidden="1">
      <c r="A28" s="270"/>
      <c r="B28" s="269" t="s">
        <v>282</v>
      </c>
      <c r="C28" s="265">
        <v>450</v>
      </c>
      <c r="D28" s="265">
        <f>1655.827402+0.140314-82.790724</f>
        <v>1573.176992</v>
      </c>
      <c r="E28" s="268">
        <f t="shared" si="0"/>
        <v>3.495948871111111</v>
      </c>
    </row>
    <row r="29" spans="1:5" s="288" customFormat="1" ht="30" customHeight="1" hidden="1">
      <c r="A29" s="270"/>
      <c r="B29" s="269" t="s">
        <v>283</v>
      </c>
      <c r="C29" s="265">
        <v>198</v>
      </c>
      <c r="D29" s="265">
        <v>2162.839</v>
      </c>
      <c r="E29" s="268">
        <f t="shared" si="0"/>
        <v>10.923429292929292</v>
      </c>
    </row>
    <row r="30" spans="1:5" s="288" customFormat="1" ht="30" customHeight="1" hidden="1">
      <c r="A30" s="270"/>
      <c r="B30" s="269" t="s">
        <v>284</v>
      </c>
      <c r="C30" s="265">
        <v>203</v>
      </c>
      <c r="D30" s="265">
        <v>377</v>
      </c>
      <c r="E30" s="268">
        <f t="shared" si="0"/>
        <v>1.8571428571428572</v>
      </c>
    </row>
    <row r="31" spans="1:5" s="287" customFormat="1" ht="30" customHeight="1" hidden="1">
      <c r="A31" s="289"/>
      <c r="B31" s="269" t="s">
        <v>344</v>
      </c>
      <c r="C31" s="265">
        <v>75</v>
      </c>
      <c r="D31" s="265">
        <v>352</v>
      </c>
      <c r="E31" s="268">
        <f t="shared" si="0"/>
        <v>4.693333333333333</v>
      </c>
    </row>
    <row r="32" spans="1:5" s="287" customFormat="1" ht="30" customHeight="1" hidden="1">
      <c r="A32" s="289"/>
      <c r="B32" s="269" t="s">
        <v>285</v>
      </c>
      <c r="C32" s="265">
        <v>295</v>
      </c>
      <c r="D32" s="265">
        <v>233</v>
      </c>
      <c r="E32" s="268">
        <f t="shared" si="0"/>
        <v>0.7898305084745763</v>
      </c>
    </row>
    <row r="33" spans="1:5" s="287" customFormat="1" ht="30" customHeight="1" hidden="1">
      <c r="A33" s="289"/>
      <c r="B33" s="269" t="s">
        <v>345</v>
      </c>
      <c r="C33" s="79">
        <f>900+1650</f>
        <v>2550</v>
      </c>
      <c r="D33" s="78">
        <f>2558-180-6+2664</f>
        <v>5036</v>
      </c>
      <c r="E33" s="268">
        <f t="shared" si="0"/>
        <v>1.9749019607843137</v>
      </c>
    </row>
    <row r="34" spans="1:5" s="287" customFormat="1" ht="30" customHeight="1" hidden="1">
      <c r="A34" s="289"/>
      <c r="B34" s="269" t="s">
        <v>286</v>
      </c>
      <c r="C34" s="265"/>
      <c r="D34" s="265">
        <v>6.088</v>
      </c>
      <c r="E34" s="268" t="e">
        <f t="shared" si="0"/>
        <v>#DIV/0!</v>
      </c>
    </row>
    <row r="35" spans="1:5" s="290" customFormat="1" ht="30" customHeight="1" hidden="1">
      <c r="A35" s="270"/>
      <c r="B35" s="61" t="s">
        <v>287</v>
      </c>
      <c r="C35" s="350"/>
      <c r="D35" s="78">
        <v>136</v>
      </c>
      <c r="E35" s="268" t="e">
        <f t="shared" si="0"/>
        <v>#DIV/0!</v>
      </c>
    </row>
    <row r="36" spans="1:5" s="287" customFormat="1" ht="30" customHeight="1" hidden="1">
      <c r="A36" s="289"/>
      <c r="B36" s="61" t="s">
        <v>288</v>
      </c>
      <c r="C36" s="351">
        <v>23412</v>
      </c>
      <c r="D36" s="273">
        <v>13855</v>
      </c>
      <c r="E36" s="268">
        <f t="shared" si="0"/>
        <v>0.5917905347684947</v>
      </c>
    </row>
    <row r="37" spans="1:5" s="287" customFormat="1" ht="30" customHeight="1" hidden="1">
      <c r="A37" s="289"/>
      <c r="B37" s="61" t="s">
        <v>289</v>
      </c>
      <c r="C37" s="351">
        <v>1430</v>
      </c>
      <c r="D37" s="273">
        <v>877</v>
      </c>
      <c r="E37" s="268">
        <f t="shared" si="0"/>
        <v>0.6132867132867132</v>
      </c>
    </row>
    <row r="38" spans="1:5" s="287" customFormat="1" ht="30" customHeight="1">
      <c r="A38" s="155">
        <v>8</v>
      </c>
      <c r="B38" s="156" t="s">
        <v>267</v>
      </c>
      <c r="C38" s="291">
        <v>5684</v>
      </c>
      <c r="D38" s="271">
        <v>2459</v>
      </c>
      <c r="E38" s="272">
        <f t="shared" si="0"/>
        <v>0.43261787473610136</v>
      </c>
    </row>
    <row r="39" spans="1:153" s="276" customFormat="1" ht="16.5" hidden="1">
      <c r="A39" s="278"/>
      <c r="B39" s="279" t="s">
        <v>346</v>
      </c>
      <c r="C39" s="280">
        <v>0</v>
      </c>
      <c r="D39" s="280">
        <v>5684</v>
      </c>
      <c r="E39" s="281"/>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7"/>
      <c r="BR39" s="277"/>
      <c r="BS39" s="277"/>
      <c r="BT39" s="277"/>
      <c r="BU39" s="277"/>
      <c r="BV39" s="277"/>
      <c r="BW39" s="277"/>
      <c r="BX39" s="277"/>
      <c r="BY39" s="277"/>
      <c r="BZ39" s="277"/>
      <c r="CA39" s="277"/>
      <c r="CB39" s="277"/>
      <c r="CC39" s="277"/>
      <c r="CD39" s="277"/>
      <c r="CE39" s="277"/>
      <c r="CF39" s="277"/>
      <c r="CG39" s="277"/>
      <c r="CH39" s="277"/>
      <c r="CI39" s="277"/>
      <c r="CJ39" s="277"/>
      <c r="CK39" s="277"/>
      <c r="CL39" s="277"/>
      <c r="CM39" s="277"/>
      <c r="CN39" s="277"/>
      <c r="CO39" s="277"/>
      <c r="CP39" s="277"/>
      <c r="CQ39" s="277"/>
      <c r="CR39" s="277"/>
      <c r="CS39" s="277"/>
      <c r="CT39" s="277"/>
      <c r="CU39" s="277"/>
      <c r="CV39" s="277"/>
      <c r="CW39" s="277"/>
      <c r="CX39" s="277"/>
      <c r="CY39" s="277"/>
      <c r="CZ39" s="277"/>
      <c r="DA39" s="277"/>
      <c r="DB39" s="277"/>
      <c r="DC39" s="277"/>
      <c r="DD39" s="277"/>
      <c r="DE39" s="277"/>
      <c r="DF39" s="277"/>
      <c r="DG39" s="277"/>
      <c r="DH39" s="277"/>
      <c r="DI39" s="277"/>
      <c r="DJ39" s="277"/>
      <c r="DK39" s="277"/>
      <c r="DL39" s="277"/>
      <c r="DM39" s="277"/>
      <c r="DN39" s="277"/>
      <c r="DO39" s="277"/>
      <c r="DP39" s="277"/>
      <c r="DQ39" s="277"/>
      <c r="DR39" s="277"/>
      <c r="DS39" s="277"/>
      <c r="DT39" s="277"/>
      <c r="DU39" s="277"/>
      <c r="DV39" s="277"/>
      <c r="DW39" s="277"/>
      <c r="DX39" s="277"/>
      <c r="DY39" s="277"/>
      <c r="DZ39" s="277"/>
      <c r="EA39" s="277"/>
      <c r="EB39" s="277"/>
      <c r="EC39" s="277"/>
      <c r="ED39" s="277"/>
      <c r="EE39" s="277"/>
      <c r="EF39" s="277"/>
      <c r="EG39" s="277"/>
      <c r="EH39" s="277"/>
      <c r="EI39" s="277"/>
      <c r="EJ39" s="277"/>
      <c r="EK39" s="277"/>
      <c r="EL39" s="277"/>
      <c r="EM39" s="277"/>
      <c r="EN39" s="277"/>
      <c r="EO39" s="277"/>
      <c r="EP39" s="277"/>
      <c r="EQ39" s="277"/>
      <c r="ER39" s="277"/>
      <c r="ES39" s="277"/>
      <c r="ET39" s="277"/>
      <c r="EU39" s="277"/>
      <c r="EV39" s="277"/>
      <c r="EW39" s="277"/>
    </row>
    <row r="40" spans="1:153" s="276" customFormat="1" ht="16.5" hidden="1">
      <c r="A40" s="282"/>
      <c r="B40" s="283" t="s">
        <v>347</v>
      </c>
      <c r="C40" s="284"/>
      <c r="D40" s="284"/>
      <c r="E40" s="285"/>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277"/>
      <c r="BR40" s="277"/>
      <c r="BS40" s="277"/>
      <c r="BT40" s="277"/>
      <c r="BU40" s="277"/>
      <c r="BV40" s="277"/>
      <c r="BW40" s="277"/>
      <c r="BX40" s="277"/>
      <c r="BY40" s="277"/>
      <c r="BZ40" s="277"/>
      <c r="CA40" s="277"/>
      <c r="CB40" s="277"/>
      <c r="CC40" s="277"/>
      <c r="CD40" s="277"/>
      <c r="CE40" s="277"/>
      <c r="CF40" s="277"/>
      <c r="CG40" s="277"/>
      <c r="CH40" s="277"/>
      <c r="CI40" s="277"/>
      <c r="CJ40" s="277"/>
      <c r="CK40" s="277"/>
      <c r="CL40" s="277"/>
      <c r="CM40" s="277"/>
      <c r="CN40" s="277"/>
      <c r="CO40" s="277"/>
      <c r="CP40" s="277"/>
      <c r="CQ40" s="277"/>
      <c r="CR40" s="277"/>
      <c r="CS40" s="277"/>
      <c r="CT40" s="277"/>
      <c r="CU40" s="277"/>
      <c r="CV40" s="277"/>
      <c r="CW40" s="277"/>
      <c r="CX40" s="277"/>
      <c r="CY40" s="277"/>
      <c r="CZ40" s="277"/>
      <c r="DA40" s="277"/>
      <c r="DB40" s="277"/>
      <c r="DC40" s="277"/>
      <c r="DD40" s="277"/>
      <c r="DE40" s="277"/>
      <c r="DF40" s="277"/>
      <c r="DG40" s="277"/>
      <c r="DH40" s="277"/>
      <c r="DI40" s="277"/>
      <c r="DJ40" s="277"/>
      <c r="DK40" s="277"/>
      <c r="DL40" s="277"/>
      <c r="DM40" s="277"/>
      <c r="DN40" s="277"/>
      <c r="DO40" s="277"/>
      <c r="DP40" s="277"/>
      <c r="DQ40" s="277"/>
      <c r="DR40" s="277"/>
      <c r="DS40" s="277"/>
      <c r="DT40" s="277"/>
      <c r="DU40" s="277"/>
      <c r="DV40" s="277"/>
      <c r="DW40" s="277"/>
      <c r="DX40" s="277"/>
      <c r="DY40" s="277"/>
      <c r="DZ40" s="277"/>
      <c r="EA40" s="277"/>
      <c r="EB40" s="277"/>
      <c r="EC40" s="277"/>
      <c r="ED40" s="277"/>
      <c r="EE40" s="277"/>
      <c r="EF40" s="277"/>
      <c r="EG40" s="277"/>
      <c r="EH40" s="277"/>
      <c r="EI40" s="277"/>
      <c r="EJ40" s="277"/>
      <c r="EK40" s="277"/>
      <c r="EL40" s="277"/>
      <c r="EM40" s="277"/>
      <c r="EN40" s="277"/>
      <c r="EO40" s="277"/>
      <c r="EP40" s="277"/>
      <c r="EQ40" s="277"/>
      <c r="ER40" s="277"/>
      <c r="ES40" s="277"/>
      <c r="ET40" s="277"/>
      <c r="EU40" s="277"/>
      <c r="EV40" s="277"/>
      <c r="EW40" s="277"/>
    </row>
    <row r="41" s="275" customFormat="1" ht="16.5"/>
  </sheetData>
  <sheetProtection/>
  <mergeCells count="5">
    <mergeCell ref="A2:E2"/>
    <mergeCell ref="A3:E3"/>
    <mergeCell ref="A5:E5"/>
    <mergeCell ref="D6:E6"/>
    <mergeCell ref="A4:E4"/>
  </mergeCells>
  <printOptions horizontalCentered="1"/>
  <pageMargins left="0" right="0" top="0.56" bottom="0.3937007874015748" header="0.57"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theme="0"/>
  </sheetPr>
  <dimension ref="A1:M69"/>
  <sheetViews>
    <sheetView view="pageBreakPreview" zoomScale="90" zoomScaleNormal="70" zoomScaleSheetLayoutView="90" workbookViewId="0" topLeftCell="A1">
      <selection activeCell="E12" sqref="E12"/>
    </sheetView>
  </sheetViews>
  <sheetFormatPr defaultColWidth="10.421875" defaultRowHeight="15"/>
  <cols>
    <col min="1" max="1" width="4.7109375" style="215" customWidth="1"/>
    <col min="2" max="2" width="55.57421875" style="93" customWidth="1"/>
    <col min="3" max="3" width="13.140625" style="216" customWidth="1"/>
    <col min="4" max="4" width="13.7109375" style="216" customWidth="1"/>
    <col min="5" max="5" width="15.28125" style="361" customWidth="1"/>
    <col min="6" max="6" width="14.421875" style="361" bestFit="1" customWidth="1"/>
    <col min="7" max="8" width="12.421875" style="216" customWidth="1"/>
    <col min="9" max="9" width="14.421875" style="93" bestFit="1" customWidth="1"/>
    <col min="10" max="10" width="10.421875" style="93" customWidth="1"/>
    <col min="11" max="11" width="17.421875" style="93" bestFit="1" customWidth="1"/>
    <col min="12" max="16384" width="10.421875" style="93" customWidth="1"/>
  </cols>
  <sheetData>
    <row r="1" spans="1:8" s="210" customFormat="1" ht="30.75" customHeight="1">
      <c r="A1" s="219"/>
      <c r="C1" s="220"/>
      <c r="D1" s="220"/>
      <c r="E1" s="359"/>
      <c r="F1" s="359"/>
      <c r="G1" s="465" t="s">
        <v>10</v>
      </c>
      <c r="H1" s="465"/>
    </row>
    <row r="2" spans="1:8" s="210" customFormat="1" ht="33.75" customHeight="1">
      <c r="A2" s="466" t="s">
        <v>351</v>
      </c>
      <c r="B2" s="466"/>
      <c r="C2" s="466"/>
      <c r="D2" s="466"/>
      <c r="E2" s="466"/>
      <c r="F2" s="466"/>
      <c r="G2" s="466"/>
      <c r="H2" s="466"/>
    </row>
    <row r="3" spans="1:8" s="221" customFormat="1" ht="16.5">
      <c r="A3" s="467" t="str">
        <f>'48'!A3:F3</f>
        <v>(Kèm theo Nghị quyết số      /NQ-HĐND ngày      tháng  6 năm 2024 của HĐND tỉnh Điện Biên)</v>
      </c>
      <c r="B3" s="467"/>
      <c r="C3" s="467"/>
      <c r="D3" s="467"/>
      <c r="E3" s="467"/>
      <c r="F3" s="467"/>
      <c r="G3" s="467"/>
      <c r="H3" s="467"/>
    </row>
    <row r="4" spans="1:8" s="221" customFormat="1" ht="16.5">
      <c r="A4" s="195"/>
      <c r="B4" s="195"/>
      <c r="C4" s="195"/>
      <c r="D4" s="195"/>
      <c r="E4" s="347"/>
      <c r="F4" s="347"/>
      <c r="G4" s="195"/>
      <c r="H4" s="195"/>
    </row>
    <row r="5" spans="1:8" s="210" customFormat="1" ht="16.5">
      <c r="A5" s="219"/>
      <c r="C5" s="220"/>
      <c r="D5" s="220"/>
      <c r="E5" s="359"/>
      <c r="F5" s="470" t="s">
        <v>117</v>
      </c>
      <c r="G5" s="470"/>
      <c r="H5" s="470"/>
    </row>
    <row r="6" spans="1:8" s="217" customFormat="1" ht="22.5" customHeight="1">
      <c r="A6" s="468" t="s">
        <v>113</v>
      </c>
      <c r="B6" s="468" t="s">
        <v>114</v>
      </c>
      <c r="C6" s="468" t="s">
        <v>8</v>
      </c>
      <c r="D6" s="468"/>
      <c r="E6" s="469" t="s">
        <v>37</v>
      </c>
      <c r="F6" s="469"/>
      <c r="G6" s="468" t="s">
        <v>193</v>
      </c>
      <c r="H6" s="468"/>
    </row>
    <row r="7" spans="1:8" s="217" customFormat="1" ht="34.5" customHeight="1">
      <c r="A7" s="468"/>
      <c r="B7" s="468"/>
      <c r="C7" s="193" t="s">
        <v>175</v>
      </c>
      <c r="D7" s="193" t="s">
        <v>176</v>
      </c>
      <c r="E7" s="355" t="s">
        <v>175</v>
      </c>
      <c r="F7" s="355" t="s">
        <v>176</v>
      </c>
      <c r="G7" s="193" t="s">
        <v>175</v>
      </c>
      <c r="H7" s="193" t="s">
        <v>176</v>
      </c>
    </row>
    <row r="8" spans="1:8" s="217" customFormat="1" ht="22.5" customHeight="1">
      <c r="A8" s="193" t="s">
        <v>115</v>
      </c>
      <c r="B8" s="193" t="s">
        <v>116</v>
      </c>
      <c r="C8" s="193">
        <v>1</v>
      </c>
      <c r="D8" s="193">
        <v>2</v>
      </c>
      <c r="E8" s="358">
        <v>3</v>
      </c>
      <c r="F8" s="358">
        <v>4</v>
      </c>
      <c r="G8" s="193" t="s">
        <v>177</v>
      </c>
      <c r="H8" s="193" t="s">
        <v>178</v>
      </c>
    </row>
    <row r="9" spans="1:11" s="218" customFormat="1" ht="22.5" customHeight="1">
      <c r="A9" s="111"/>
      <c r="B9" s="112" t="s">
        <v>307</v>
      </c>
      <c r="C9" s="113">
        <f>SUM(C10,C61,C62,C63)</f>
        <v>2326000</v>
      </c>
      <c r="D9" s="113">
        <f>SUM(D10,D61,D62,D63)</f>
        <v>2196800</v>
      </c>
      <c r="E9" s="360">
        <f>SUM(E10,E61,E62,E63)</f>
        <v>4846587.563959999</v>
      </c>
      <c r="F9" s="360">
        <f>SUM(F10,F61,F62,F63)</f>
        <v>4117548.120455</v>
      </c>
      <c r="G9" s="91">
        <f aca="true" t="shared" si="0" ref="G9:H19">E9/C9</f>
        <v>2.0836575941358553</v>
      </c>
      <c r="H9" s="91">
        <f t="shared" si="0"/>
        <v>1.8743390934336308</v>
      </c>
      <c r="I9" s="301">
        <f>F9+'48'!D14-'48'!D9</f>
        <v>0</v>
      </c>
      <c r="K9" s="114"/>
    </row>
    <row r="10" spans="1:9" s="218" customFormat="1" ht="22.5" customHeight="1">
      <c r="A10" s="115" t="s">
        <v>115</v>
      </c>
      <c r="B10" s="116" t="s">
        <v>179</v>
      </c>
      <c r="C10" s="117">
        <f>SUM(C11,C52,C59,C60)</f>
        <v>2326000</v>
      </c>
      <c r="D10" s="117">
        <f>SUM(D11,D52,D59,D60)</f>
        <v>2196800</v>
      </c>
      <c r="E10" s="82">
        <f>SUM(E11,E52,E59,E60)</f>
        <v>1571678.128294</v>
      </c>
      <c r="F10" s="82">
        <f>SUM(F11,F52,F59,F60)</f>
        <v>1439453.091745</v>
      </c>
      <c r="G10" s="91">
        <f t="shared" si="0"/>
        <v>0.6756999691719691</v>
      </c>
      <c r="H10" s="91">
        <f t="shared" si="0"/>
        <v>0.655249950721504</v>
      </c>
      <c r="I10" s="301"/>
    </row>
    <row r="11" spans="1:13" s="218" customFormat="1" ht="22.5" customHeight="1">
      <c r="A11" s="115" t="s">
        <v>123</v>
      </c>
      <c r="B11" s="116" t="s">
        <v>118</v>
      </c>
      <c r="C11" s="117">
        <f>SUM(C12,C17,C21,C24,C29:C30,C33:C34,C37:C42,C48:C51)</f>
        <v>2316000</v>
      </c>
      <c r="D11" s="117">
        <f>SUM(D12,D17,D21,D24,D29:D30,D33:D34,D37:D42,D48:D51)</f>
        <v>2196800</v>
      </c>
      <c r="E11" s="82">
        <f>SUM(E12,E17,E21,E24,E29:E30,E33:E34,E37:E42,E48:E51)</f>
        <v>1491933.8141949999</v>
      </c>
      <c r="F11" s="82">
        <f>SUM(F12,F17,F21,F24,F29:F30,F33:F34,F37:F42,F48:F51)</f>
        <v>1387934.610222</v>
      </c>
      <c r="G11" s="91">
        <f t="shared" si="0"/>
        <v>0.6441855847128669</v>
      </c>
      <c r="H11" s="91">
        <f t="shared" si="0"/>
        <v>0.63179834769756</v>
      </c>
      <c r="I11" s="301"/>
      <c r="J11" s="303"/>
      <c r="K11" s="303"/>
      <c r="M11" s="303"/>
    </row>
    <row r="12" spans="1:9" ht="32.25" customHeight="1">
      <c r="A12" s="122">
        <v>1</v>
      </c>
      <c r="B12" s="120" t="s">
        <v>305</v>
      </c>
      <c r="C12" s="158">
        <f>SUM(C13:C16)</f>
        <v>214000</v>
      </c>
      <c r="D12" s="158">
        <f>SUM(D13:D16)</f>
        <v>214000</v>
      </c>
      <c r="E12" s="356">
        <f>SUM(E13:E16)</f>
        <v>254375.83669700002</v>
      </c>
      <c r="F12" s="356">
        <f>SUM(F13:F16)</f>
        <v>254375.83669700002</v>
      </c>
      <c r="G12" s="84">
        <f t="shared" si="0"/>
        <v>1.188672134098131</v>
      </c>
      <c r="H12" s="84">
        <f t="shared" si="0"/>
        <v>1.188672134098131</v>
      </c>
      <c r="I12" s="301"/>
    </row>
    <row r="13" spans="1:9" ht="22.5" customHeight="1">
      <c r="A13" s="122"/>
      <c r="B13" s="118" t="s">
        <v>132</v>
      </c>
      <c r="C13" s="119">
        <v>72000</v>
      </c>
      <c r="D13" s="119">
        <v>72000</v>
      </c>
      <c r="E13" s="354">
        <v>76946.285115</v>
      </c>
      <c r="F13" s="354">
        <v>76946.285115</v>
      </c>
      <c r="G13" s="84">
        <f t="shared" si="0"/>
        <v>1.068698404375</v>
      </c>
      <c r="H13" s="84">
        <f>F13/D13</f>
        <v>1.068698404375</v>
      </c>
      <c r="I13" s="301"/>
    </row>
    <row r="14" spans="1:10" ht="22.5" customHeight="1">
      <c r="A14" s="122"/>
      <c r="B14" s="118" t="s">
        <v>243</v>
      </c>
      <c r="C14" s="119">
        <v>2000</v>
      </c>
      <c r="D14" s="119">
        <v>2000</v>
      </c>
      <c r="E14" s="354">
        <v>4781.583611</v>
      </c>
      <c r="F14" s="354">
        <v>4781.583611</v>
      </c>
      <c r="G14" s="84">
        <f t="shared" si="0"/>
        <v>2.3907918055</v>
      </c>
      <c r="H14" s="84">
        <f>F14/D14</f>
        <v>2.3907918055</v>
      </c>
      <c r="I14" s="301"/>
      <c r="J14" s="114"/>
    </row>
    <row r="15" spans="1:10" ht="22.5" customHeight="1" hidden="1">
      <c r="A15" s="122"/>
      <c r="B15" s="118" t="s">
        <v>133</v>
      </c>
      <c r="C15" s="119"/>
      <c r="D15" s="119"/>
      <c r="E15" s="356">
        <v>0</v>
      </c>
      <c r="F15" s="356">
        <v>0</v>
      </c>
      <c r="G15" s="84" t="e">
        <f t="shared" si="0"/>
        <v>#DIV/0!</v>
      </c>
      <c r="H15" s="84"/>
      <c r="I15" s="301"/>
      <c r="J15" s="114"/>
    </row>
    <row r="16" spans="1:10" ht="22.5" customHeight="1">
      <c r="A16" s="122"/>
      <c r="B16" s="118" t="s">
        <v>134</v>
      </c>
      <c r="C16" s="119">
        <v>140000</v>
      </c>
      <c r="D16" s="119">
        <v>140000</v>
      </c>
      <c r="E16" s="356">
        <v>172647.967971</v>
      </c>
      <c r="F16" s="356">
        <v>172647.967971</v>
      </c>
      <c r="G16" s="84">
        <f t="shared" si="0"/>
        <v>1.2331997712214287</v>
      </c>
      <c r="H16" s="84">
        <f>F16/D16</f>
        <v>1.2331997712214287</v>
      </c>
      <c r="I16" s="301"/>
      <c r="J16" s="114"/>
    </row>
    <row r="17" spans="1:10" ht="33.75" customHeight="1">
      <c r="A17" s="122">
        <v>2</v>
      </c>
      <c r="B17" s="120" t="s">
        <v>135</v>
      </c>
      <c r="C17" s="158">
        <f>SUM(C18:C20)</f>
        <v>7000</v>
      </c>
      <c r="D17" s="158">
        <f>SUM(D18:D20)</f>
        <v>7000</v>
      </c>
      <c r="E17" s="356">
        <f>SUM(E18:E20)</f>
        <v>7563.314486</v>
      </c>
      <c r="F17" s="356">
        <f>SUM(F18:F20)</f>
        <v>7563.314486</v>
      </c>
      <c r="G17" s="84">
        <f t="shared" si="0"/>
        <v>1.080473498</v>
      </c>
      <c r="H17" s="84">
        <f>F17/D17</f>
        <v>1.080473498</v>
      </c>
      <c r="I17" s="301"/>
      <c r="J17" s="114"/>
    </row>
    <row r="18" spans="1:9" ht="22.5" customHeight="1">
      <c r="A18" s="122"/>
      <c r="B18" s="120" t="s">
        <v>132</v>
      </c>
      <c r="C18" s="119">
        <v>6000</v>
      </c>
      <c r="D18" s="119">
        <v>6000</v>
      </c>
      <c r="E18" s="354">
        <v>3466.791044</v>
      </c>
      <c r="F18" s="354">
        <v>3466.791044</v>
      </c>
      <c r="G18" s="84">
        <f t="shared" si="0"/>
        <v>0.5777985073333334</v>
      </c>
      <c r="H18" s="84">
        <f>F18/D18</f>
        <v>0.5777985073333334</v>
      </c>
      <c r="I18" s="301"/>
    </row>
    <row r="19" spans="1:9" ht="22.5" customHeight="1">
      <c r="A19" s="122"/>
      <c r="B19" s="120" t="s">
        <v>243</v>
      </c>
      <c r="C19" s="119">
        <v>1000</v>
      </c>
      <c r="D19" s="119">
        <v>1000</v>
      </c>
      <c r="E19" s="354">
        <v>3846.383402</v>
      </c>
      <c r="F19" s="354">
        <v>3846.383402</v>
      </c>
      <c r="G19" s="84">
        <f t="shared" si="0"/>
        <v>3.846383402</v>
      </c>
      <c r="H19" s="84">
        <f>F19/D19</f>
        <v>3.846383402</v>
      </c>
      <c r="I19" s="301"/>
    </row>
    <row r="20" spans="1:9" ht="22.5" customHeight="1">
      <c r="A20" s="122"/>
      <c r="B20" s="120" t="s">
        <v>134</v>
      </c>
      <c r="C20" s="158"/>
      <c r="D20" s="158"/>
      <c r="E20" s="356">
        <v>250.14004</v>
      </c>
      <c r="F20" s="356">
        <v>250.14004</v>
      </c>
      <c r="G20" s="84"/>
      <c r="H20" s="84"/>
      <c r="I20" s="301"/>
    </row>
    <row r="21" spans="1:9" ht="21.75" customHeight="1">
      <c r="A21" s="122">
        <v>3</v>
      </c>
      <c r="B21" s="118" t="s">
        <v>55</v>
      </c>
      <c r="C21" s="158">
        <f>SUM(C22)</f>
        <v>200</v>
      </c>
      <c r="D21" s="158">
        <f>SUM(D22)</f>
        <v>200</v>
      </c>
      <c r="E21" s="356">
        <f>SUM(E22:E23)</f>
        <v>2391.013106</v>
      </c>
      <c r="F21" s="356">
        <f>SUM(F22:F23)</f>
        <v>2391.013106</v>
      </c>
      <c r="G21" s="84">
        <f aca="true" t="shared" si="1" ref="G21:G57">E21/C21</f>
        <v>11.955065529999999</v>
      </c>
      <c r="H21" s="84">
        <f>F21/D21</f>
        <v>11.955065529999999</v>
      </c>
      <c r="I21" s="301"/>
    </row>
    <row r="22" spans="1:9" ht="22.5" customHeight="1">
      <c r="A22" s="122"/>
      <c r="B22" s="118" t="s">
        <v>132</v>
      </c>
      <c r="C22" s="158">
        <v>200</v>
      </c>
      <c r="D22" s="158">
        <v>200</v>
      </c>
      <c r="E22" s="354">
        <v>460.77159</v>
      </c>
      <c r="F22" s="354">
        <v>460.77159</v>
      </c>
      <c r="G22" s="84">
        <f t="shared" si="1"/>
        <v>2.30385795</v>
      </c>
      <c r="H22" s="84">
        <f>F22/D22</f>
        <v>2.30385795</v>
      </c>
      <c r="I22" s="301"/>
    </row>
    <row r="23" spans="1:9" ht="22.5" customHeight="1">
      <c r="A23" s="122"/>
      <c r="B23" s="120" t="s">
        <v>243</v>
      </c>
      <c r="C23" s="158"/>
      <c r="D23" s="158"/>
      <c r="E23" s="356">
        <v>1930.241516</v>
      </c>
      <c r="F23" s="356">
        <v>1930.241516</v>
      </c>
      <c r="G23" s="84"/>
      <c r="H23" s="84"/>
      <c r="I23" s="301"/>
    </row>
    <row r="24" spans="1:9" ht="22.5" customHeight="1">
      <c r="A24" s="122">
        <v>4</v>
      </c>
      <c r="B24" s="118" t="s">
        <v>56</v>
      </c>
      <c r="C24" s="158">
        <f>SUM(C25:C28)</f>
        <v>328000</v>
      </c>
      <c r="D24" s="158">
        <f>SUM(D25:D28)</f>
        <v>328000</v>
      </c>
      <c r="E24" s="356">
        <f>SUM(E25:E28)</f>
        <v>337506.07550499996</v>
      </c>
      <c r="F24" s="356">
        <f>SUM(F25:F28)</f>
        <v>337506.07550499996</v>
      </c>
      <c r="G24" s="84">
        <f t="shared" si="1"/>
        <v>1.0289819375152438</v>
      </c>
      <c r="H24" s="84">
        <f aca="true" t="shared" si="2" ref="H24:H30">F24/D24</f>
        <v>1.0289819375152438</v>
      </c>
      <c r="I24" s="301"/>
    </row>
    <row r="25" spans="1:9" ht="22.5" customHeight="1">
      <c r="A25" s="122"/>
      <c r="B25" s="118" t="s">
        <v>132</v>
      </c>
      <c r="C25" s="119">
        <v>259000</v>
      </c>
      <c r="D25" s="119">
        <v>259000</v>
      </c>
      <c r="E25" s="356">
        <v>216699.7064</v>
      </c>
      <c r="F25" s="356">
        <v>216699.7064</v>
      </c>
      <c r="G25" s="84">
        <f t="shared" si="1"/>
        <v>0.836678403088803</v>
      </c>
      <c r="H25" s="84">
        <f t="shared" si="2"/>
        <v>0.836678403088803</v>
      </c>
      <c r="I25" s="301"/>
    </row>
    <row r="26" spans="1:9" ht="22.5" customHeight="1">
      <c r="A26" s="122"/>
      <c r="B26" s="118" t="s">
        <v>243</v>
      </c>
      <c r="C26" s="121">
        <v>20000</v>
      </c>
      <c r="D26" s="121">
        <v>20000</v>
      </c>
      <c r="E26" s="356">
        <v>44125.397863</v>
      </c>
      <c r="F26" s="356">
        <v>44125.397863</v>
      </c>
      <c r="G26" s="84">
        <f t="shared" si="1"/>
        <v>2.20626989315</v>
      </c>
      <c r="H26" s="84">
        <f t="shared" si="2"/>
        <v>2.20626989315</v>
      </c>
      <c r="I26" s="301"/>
    </row>
    <row r="27" spans="1:9" ht="22.5" customHeight="1">
      <c r="A27" s="122"/>
      <c r="B27" s="118" t="s">
        <v>133</v>
      </c>
      <c r="C27" s="119"/>
      <c r="D27" s="119"/>
      <c r="E27" s="356">
        <v>58.267215</v>
      </c>
      <c r="F27" s="356">
        <v>58.267215</v>
      </c>
      <c r="G27" s="84"/>
      <c r="H27" s="84"/>
      <c r="I27" s="301"/>
    </row>
    <row r="28" spans="1:9" ht="22.5" customHeight="1">
      <c r="A28" s="122"/>
      <c r="B28" s="118" t="s">
        <v>134</v>
      </c>
      <c r="C28" s="121">
        <v>49000</v>
      </c>
      <c r="D28" s="121">
        <v>49000</v>
      </c>
      <c r="E28" s="356">
        <v>76622.704027</v>
      </c>
      <c r="F28" s="356">
        <v>76622.704027</v>
      </c>
      <c r="G28" s="84">
        <f t="shared" si="1"/>
        <v>1.563728653612245</v>
      </c>
      <c r="H28" s="84">
        <f t="shared" si="2"/>
        <v>1.563728653612245</v>
      </c>
      <c r="I28" s="301"/>
    </row>
    <row r="29" spans="1:9" ht="22.5" customHeight="1">
      <c r="A29" s="122">
        <v>5</v>
      </c>
      <c r="B29" s="118" t="s">
        <v>149</v>
      </c>
      <c r="C29" s="158">
        <v>43000</v>
      </c>
      <c r="D29" s="158">
        <v>43000</v>
      </c>
      <c r="E29" s="356">
        <v>64068.321908</v>
      </c>
      <c r="F29" s="356">
        <v>64068.321908</v>
      </c>
      <c r="G29" s="84">
        <f t="shared" si="1"/>
        <v>1.4899609746046512</v>
      </c>
      <c r="H29" s="84">
        <f t="shared" si="2"/>
        <v>1.4899609746046512</v>
      </c>
      <c r="I29" s="301"/>
    </row>
    <row r="30" spans="1:9" ht="22.5" customHeight="1">
      <c r="A30" s="122">
        <v>6</v>
      </c>
      <c r="B30" s="118" t="s">
        <v>150</v>
      </c>
      <c r="C30" s="158">
        <f>SUM(C31:C32)</f>
        <v>175000</v>
      </c>
      <c r="D30" s="158">
        <f>SUM(D31:D32)</f>
        <v>84000</v>
      </c>
      <c r="E30" s="356">
        <f>SUM(E31:E32)</f>
        <v>107598.188169</v>
      </c>
      <c r="F30" s="356">
        <f>SUM(F31:F32)</f>
        <v>51704.708232</v>
      </c>
      <c r="G30" s="84">
        <f t="shared" si="1"/>
        <v>0.6148467895371429</v>
      </c>
      <c r="H30" s="84">
        <f t="shared" si="2"/>
        <v>0.6155322408571429</v>
      </c>
      <c r="I30" s="301"/>
    </row>
    <row r="31" spans="1:9" ht="22.5" customHeight="1">
      <c r="A31" s="122"/>
      <c r="B31" s="123" t="s">
        <v>254</v>
      </c>
      <c r="C31" s="121">
        <v>91000</v>
      </c>
      <c r="D31" s="121"/>
      <c r="E31" s="356">
        <v>55893.479937</v>
      </c>
      <c r="F31" s="356"/>
      <c r="G31" s="84">
        <f t="shared" si="1"/>
        <v>0.6142140652417583</v>
      </c>
      <c r="H31" s="84"/>
      <c r="I31" s="301"/>
    </row>
    <row r="32" spans="1:9" ht="36" customHeight="1">
      <c r="A32" s="122"/>
      <c r="B32" s="123" t="s">
        <v>185</v>
      </c>
      <c r="C32" s="121">
        <v>84000</v>
      </c>
      <c r="D32" s="121">
        <v>84000</v>
      </c>
      <c r="E32" s="356">
        <v>51704.708232</v>
      </c>
      <c r="F32" s="356">
        <v>51704.708232</v>
      </c>
      <c r="G32" s="84">
        <f t="shared" si="1"/>
        <v>0.6155322408571429</v>
      </c>
      <c r="H32" s="84">
        <f>F32/D32</f>
        <v>0.6155322408571429</v>
      </c>
      <c r="I32" s="301"/>
    </row>
    <row r="33" spans="1:9" ht="22.5" customHeight="1">
      <c r="A33" s="122">
        <v>7</v>
      </c>
      <c r="B33" s="118" t="s">
        <v>206</v>
      </c>
      <c r="C33" s="119">
        <v>72000</v>
      </c>
      <c r="D33" s="119">
        <v>72000</v>
      </c>
      <c r="E33" s="356">
        <v>88010.98336</v>
      </c>
      <c r="F33" s="356">
        <v>88010.98336</v>
      </c>
      <c r="G33" s="84">
        <f t="shared" si="1"/>
        <v>1.2223747688888889</v>
      </c>
      <c r="H33" s="84">
        <f>F33/D33</f>
        <v>1.2223747688888889</v>
      </c>
      <c r="I33" s="301"/>
    </row>
    <row r="34" spans="1:9" ht="22.5" customHeight="1">
      <c r="A34" s="122">
        <v>8</v>
      </c>
      <c r="B34" s="118" t="s">
        <v>180</v>
      </c>
      <c r="C34" s="119">
        <f>C35+C36</f>
        <v>29000</v>
      </c>
      <c r="D34" s="119">
        <f>D35+D36</f>
        <v>23000</v>
      </c>
      <c r="E34" s="356">
        <f>SUM(E35:E36)</f>
        <v>37966.942108999996</v>
      </c>
      <c r="F34" s="356">
        <f>SUM(F35:F36)</f>
        <v>31276.48665</v>
      </c>
      <c r="G34" s="84">
        <f t="shared" si="1"/>
        <v>1.3092049003103448</v>
      </c>
      <c r="H34" s="84">
        <f>F34/D34</f>
        <v>1.359847245652174</v>
      </c>
      <c r="I34" s="301"/>
    </row>
    <row r="35" spans="1:9" ht="22.5" customHeight="1">
      <c r="A35" s="122"/>
      <c r="B35" s="123" t="s">
        <v>141</v>
      </c>
      <c r="C35" s="119">
        <v>6000</v>
      </c>
      <c r="D35" s="119"/>
      <c r="E35" s="356">
        <v>6856.455459</v>
      </c>
      <c r="F35" s="356">
        <v>166</v>
      </c>
      <c r="G35" s="84">
        <f t="shared" si="1"/>
        <v>1.1427425764999999</v>
      </c>
      <c r="H35" s="84"/>
      <c r="I35" s="301"/>
    </row>
    <row r="36" spans="1:9" ht="22.5" customHeight="1">
      <c r="A36" s="122"/>
      <c r="B36" s="123" t="s">
        <v>352</v>
      </c>
      <c r="C36" s="302">
        <v>23000</v>
      </c>
      <c r="D36" s="302">
        <v>23000</v>
      </c>
      <c r="E36" s="356">
        <v>31110.48665</v>
      </c>
      <c r="F36" s="356">
        <v>31110.48665</v>
      </c>
      <c r="G36" s="84">
        <f t="shared" si="1"/>
        <v>1.3526298543478261</v>
      </c>
      <c r="H36" s="84">
        <f>F36/D36</f>
        <v>1.3526298543478261</v>
      </c>
      <c r="I36" s="301"/>
    </row>
    <row r="37" spans="1:9" ht="22.5" customHeight="1" hidden="1">
      <c r="A37" s="122">
        <v>9</v>
      </c>
      <c r="B37" s="118" t="s">
        <v>194</v>
      </c>
      <c r="C37" s="158"/>
      <c r="D37" s="158"/>
      <c r="E37" s="356"/>
      <c r="F37" s="356"/>
      <c r="G37" s="84"/>
      <c r="H37" s="84"/>
      <c r="I37" s="301"/>
    </row>
    <row r="38" spans="1:9" ht="22.5" customHeight="1">
      <c r="A38" s="122">
        <v>9</v>
      </c>
      <c r="B38" s="118" t="s">
        <v>195</v>
      </c>
      <c r="C38" s="158">
        <v>1800</v>
      </c>
      <c r="D38" s="158">
        <v>1800</v>
      </c>
      <c r="E38" s="356">
        <v>3989.527347</v>
      </c>
      <c r="F38" s="356">
        <v>3989.527347</v>
      </c>
      <c r="G38" s="84">
        <f t="shared" si="1"/>
        <v>2.2164040816666666</v>
      </c>
      <c r="H38" s="84">
        <f>F38/D38</f>
        <v>2.2164040816666666</v>
      </c>
      <c r="I38" s="301"/>
    </row>
    <row r="39" spans="1:9" ht="22.5" customHeight="1">
      <c r="A39" s="122">
        <v>10</v>
      </c>
      <c r="B39" s="118" t="s">
        <v>181</v>
      </c>
      <c r="C39" s="119">
        <v>28000</v>
      </c>
      <c r="D39" s="119">
        <v>28000</v>
      </c>
      <c r="E39" s="356">
        <v>66134.962441</v>
      </c>
      <c r="F39" s="356">
        <v>66134.962441</v>
      </c>
      <c r="G39" s="84">
        <f t="shared" si="1"/>
        <v>2.3619629443214283</v>
      </c>
      <c r="H39" s="84">
        <f>F39/D39</f>
        <v>2.3619629443214283</v>
      </c>
      <c r="I39" s="301"/>
    </row>
    <row r="40" spans="1:9" ht="22.5" customHeight="1">
      <c r="A40" s="122">
        <v>11</v>
      </c>
      <c r="B40" s="118" t="s">
        <v>182</v>
      </c>
      <c r="C40" s="158">
        <v>1340000</v>
      </c>
      <c r="D40" s="158">
        <v>1340000</v>
      </c>
      <c r="E40" s="356">
        <v>378367.282856</v>
      </c>
      <c r="F40" s="356">
        <v>378367.282856</v>
      </c>
      <c r="G40" s="84">
        <f t="shared" si="1"/>
        <v>0.28236364392238805</v>
      </c>
      <c r="H40" s="84">
        <f>F40/D40</f>
        <v>0.28236364392238805</v>
      </c>
      <c r="I40" s="301"/>
    </row>
    <row r="41" spans="1:9" ht="24" customHeight="1">
      <c r="A41" s="122">
        <v>12</v>
      </c>
      <c r="B41" s="118" t="s">
        <v>183</v>
      </c>
      <c r="C41" s="119"/>
      <c r="D41" s="119"/>
      <c r="E41" s="356">
        <v>30</v>
      </c>
      <c r="F41" s="356">
        <v>30</v>
      </c>
      <c r="G41" s="84"/>
      <c r="H41" s="84"/>
      <c r="I41" s="301"/>
    </row>
    <row r="42" spans="1:9" ht="22.5" customHeight="1">
      <c r="A42" s="122">
        <v>13</v>
      </c>
      <c r="B42" s="118" t="s">
        <v>184</v>
      </c>
      <c r="C42" s="119">
        <v>36000</v>
      </c>
      <c r="D42" s="119">
        <v>36000</v>
      </c>
      <c r="E42" s="356">
        <v>32563.186695</v>
      </c>
      <c r="F42" s="356">
        <v>32563.186695</v>
      </c>
      <c r="G42" s="84">
        <f t="shared" si="1"/>
        <v>0.90453296375</v>
      </c>
      <c r="H42" s="84">
        <f>F42/D42</f>
        <v>0.90453296375</v>
      </c>
      <c r="I42" s="301"/>
    </row>
    <row r="43" spans="1:9" ht="22.5" customHeight="1" hidden="1">
      <c r="A43" s="122"/>
      <c r="B43" s="118" t="s">
        <v>132</v>
      </c>
      <c r="C43" s="158"/>
      <c r="D43" s="158"/>
      <c r="E43" s="356"/>
      <c r="F43" s="356"/>
      <c r="G43" s="84"/>
      <c r="H43" s="84"/>
      <c r="I43" s="301"/>
    </row>
    <row r="44" spans="1:9" ht="22.5" customHeight="1" hidden="1">
      <c r="A44" s="122"/>
      <c r="B44" s="118" t="s">
        <v>243</v>
      </c>
      <c r="C44" s="158"/>
      <c r="D44" s="158"/>
      <c r="E44" s="356"/>
      <c r="F44" s="356"/>
      <c r="G44" s="84"/>
      <c r="H44" s="84"/>
      <c r="I44" s="301"/>
    </row>
    <row r="45" spans="1:9" ht="22.5" customHeight="1" hidden="1">
      <c r="A45" s="122"/>
      <c r="B45" s="123" t="s">
        <v>142</v>
      </c>
      <c r="C45" s="158"/>
      <c r="D45" s="158"/>
      <c r="E45" s="356"/>
      <c r="F45" s="356"/>
      <c r="G45" s="84"/>
      <c r="H45" s="84"/>
      <c r="I45" s="301"/>
    </row>
    <row r="46" spans="1:9" ht="22.5" customHeight="1" hidden="1">
      <c r="A46" s="122"/>
      <c r="B46" s="123" t="s">
        <v>133</v>
      </c>
      <c r="C46" s="158"/>
      <c r="D46" s="158"/>
      <c r="E46" s="356"/>
      <c r="F46" s="356"/>
      <c r="G46" s="84"/>
      <c r="H46" s="84"/>
      <c r="I46" s="301"/>
    </row>
    <row r="47" spans="1:9" ht="22.5" customHeight="1" hidden="1">
      <c r="A47" s="122"/>
      <c r="B47" s="118" t="s">
        <v>57</v>
      </c>
      <c r="C47" s="158"/>
      <c r="D47" s="158"/>
      <c r="E47" s="356"/>
      <c r="F47" s="356"/>
      <c r="G47" s="84" t="e">
        <f t="shared" si="1"/>
        <v>#DIV/0!</v>
      </c>
      <c r="H47" s="84"/>
      <c r="I47" s="301"/>
    </row>
    <row r="48" spans="1:9" ht="22.5" customHeight="1">
      <c r="A48" s="122">
        <v>14</v>
      </c>
      <c r="B48" s="118" t="s">
        <v>196</v>
      </c>
      <c r="C48" s="119">
        <v>10000</v>
      </c>
      <c r="D48" s="119">
        <v>5800</v>
      </c>
      <c r="E48" s="356">
        <v>21247.493625</v>
      </c>
      <c r="F48" s="356">
        <f>21247.493625-8122.891342</f>
        <v>13124.602283</v>
      </c>
      <c r="G48" s="84">
        <f t="shared" si="1"/>
        <v>2.1247493625</v>
      </c>
      <c r="H48" s="84">
        <f>F48/D48</f>
        <v>2.262862462586207</v>
      </c>
      <c r="I48" s="301"/>
    </row>
    <row r="49" spans="1:9" ht="22.5" customHeight="1">
      <c r="A49" s="122">
        <v>15</v>
      </c>
      <c r="B49" s="118" t="s">
        <v>197</v>
      </c>
      <c r="C49" s="158">
        <v>30000</v>
      </c>
      <c r="D49" s="158">
        <v>12000</v>
      </c>
      <c r="E49" s="356">
        <v>82721.838172</v>
      </c>
      <c r="F49" s="356">
        <f>82721.838172-33292.377235</f>
        <v>49429.460937</v>
      </c>
      <c r="G49" s="84">
        <f t="shared" si="1"/>
        <v>2.7573946057333334</v>
      </c>
      <c r="H49" s="84">
        <f>F49/D49</f>
        <v>4.11912174475</v>
      </c>
      <c r="I49" s="301"/>
    </row>
    <row r="50" spans="1:9" ht="22.5" customHeight="1">
      <c r="A50" s="122">
        <v>16</v>
      </c>
      <c r="B50" s="118" t="s">
        <v>236</v>
      </c>
      <c r="C50" s="119">
        <v>2000</v>
      </c>
      <c r="D50" s="119">
        <v>2000</v>
      </c>
      <c r="E50" s="356">
        <v>5421.636642</v>
      </c>
      <c r="F50" s="356">
        <v>5421.636642</v>
      </c>
      <c r="G50" s="84">
        <f t="shared" si="1"/>
        <v>2.710818321</v>
      </c>
      <c r="H50" s="84">
        <f>F50/D50</f>
        <v>2.710818321</v>
      </c>
      <c r="I50" s="301"/>
    </row>
    <row r="51" spans="1:9" ht="22.5" customHeight="1">
      <c r="A51" s="122">
        <v>17</v>
      </c>
      <c r="B51" s="118" t="s">
        <v>306</v>
      </c>
      <c r="C51" s="158"/>
      <c r="D51" s="158"/>
      <c r="E51" s="356">
        <v>1977.211077</v>
      </c>
      <c r="F51" s="356">
        <v>1977.211077</v>
      </c>
      <c r="G51" s="84"/>
      <c r="H51" s="84"/>
      <c r="I51" s="301"/>
    </row>
    <row r="52" spans="1:9" s="218" customFormat="1" ht="22.5" customHeight="1">
      <c r="A52" s="115" t="s">
        <v>119</v>
      </c>
      <c r="B52" s="116" t="s">
        <v>237</v>
      </c>
      <c r="C52" s="117">
        <f>SUM(C53:C58)</f>
        <v>10000</v>
      </c>
      <c r="D52" s="117"/>
      <c r="E52" s="82">
        <f>SUM(E53:E58)</f>
        <v>21865.934576</v>
      </c>
      <c r="F52" s="82"/>
      <c r="G52" s="91">
        <f t="shared" si="1"/>
        <v>2.1865934576</v>
      </c>
      <c r="H52" s="84"/>
      <c r="I52" s="301"/>
    </row>
    <row r="53" spans="1:9" ht="22.5" customHeight="1">
      <c r="A53" s="122">
        <v>1</v>
      </c>
      <c r="B53" s="118" t="s">
        <v>58</v>
      </c>
      <c r="C53" s="119">
        <v>60</v>
      </c>
      <c r="D53" s="119"/>
      <c r="E53" s="356">
        <v>30.025</v>
      </c>
      <c r="F53" s="356"/>
      <c r="G53" s="84">
        <f t="shared" si="1"/>
        <v>0.5004166666666666</v>
      </c>
      <c r="H53" s="84"/>
      <c r="I53" s="301"/>
    </row>
    <row r="54" spans="1:9" ht="22.5" customHeight="1">
      <c r="A54" s="122">
        <v>2</v>
      </c>
      <c r="B54" s="118" t="s">
        <v>198</v>
      </c>
      <c r="C54" s="119">
        <v>330</v>
      </c>
      <c r="D54" s="119"/>
      <c r="E54" s="356">
        <v>640.941826</v>
      </c>
      <c r="F54" s="356"/>
      <c r="G54" s="84">
        <f t="shared" si="1"/>
        <v>1.9422479575757576</v>
      </c>
      <c r="H54" s="84"/>
      <c r="I54" s="301"/>
    </row>
    <row r="55" spans="1:9" ht="22.5" customHeight="1" hidden="1">
      <c r="A55" s="122">
        <v>3</v>
      </c>
      <c r="B55" s="118" t="s">
        <v>238</v>
      </c>
      <c r="C55" s="158"/>
      <c r="D55" s="158"/>
      <c r="E55" s="356"/>
      <c r="F55" s="356"/>
      <c r="G55" s="84" t="e">
        <f t="shared" si="1"/>
        <v>#DIV/0!</v>
      </c>
      <c r="H55" s="84"/>
      <c r="I55" s="301"/>
    </row>
    <row r="56" spans="1:9" ht="22.5" customHeight="1">
      <c r="A56" s="122">
        <v>3</v>
      </c>
      <c r="B56" s="118" t="s">
        <v>239</v>
      </c>
      <c r="C56" s="158"/>
      <c r="D56" s="158"/>
      <c r="E56" s="356">
        <v>1.872</v>
      </c>
      <c r="F56" s="356"/>
      <c r="G56" s="84"/>
      <c r="H56" s="84"/>
      <c r="I56" s="301"/>
    </row>
    <row r="57" spans="1:9" ht="22.5" customHeight="1">
      <c r="A57" s="122">
        <v>4</v>
      </c>
      <c r="B57" s="118" t="s">
        <v>240</v>
      </c>
      <c r="C57" s="119">
        <v>9610</v>
      </c>
      <c r="D57" s="119"/>
      <c r="E57" s="356">
        <v>20609.04575</v>
      </c>
      <c r="F57" s="356"/>
      <c r="G57" s="84">
        <f t="shared" si="1"/>
        <v>2.1445417013527575</v>
      </c>
      <c r="H57" s="84"/>
      <c r="I57" s="301"/>
    </row>
    <row r="58" spans="1:9" ht="22.5" customHeight="1">
      <c r="A58" s="122">
        <v>5</v>
      </c>
      <c r="B58" s="118" t="s">
        <v>199</v>
      </c>
      <c r="C58" s="158"/>
      <c r="D58" s="158"/>
      <c r="E58" s="356">
        <v>584.05</v>
      </c>
      <c r="F58" s="356"/>
      <c r="G58" s="84"/>
      <c r="H58" s="84"/>
      <c r="I58" s="301"/>
    </row>
    <row r="59" spans="1:9" s="218" customFormat="1" ht="22.5" customHeight="1">
      <c r="A59" s="115" t="s">
        <v>120</v>
      </c>
      <c r="B59" s="116" t="s">
        <v>200</v>
      </c>
      <c r="C59" s="124"/>
      <c r="D59" s="124"/>
      <c r="E59" s="82">
        <v>6941.305152</v>
      </c>
      <c r="F59" s="82">
        <f>6941.305152-6359.898</f>
        <v>581.4071519999998</v>
      </c>
      <c r="G59" s="84"/>
      <c r="H59" s="91"/>
      <c r="I59" s="301"/>
    </row>
    <row r="60" spans="1:9" s="218" customFormat="1" ht="22.5" customHeight="1">
      <c r="A60" s="115" t="s">
        <v>121</v>
      </c>
      <c r="B60" s="116" t="s">
        <v>211</v>
      </c>
      <c r="C60" s="117"/>
      <c r="D60" s="117"/>
      <c r="E60" s="82">
        <v>50937.074371</v>
      </c>
      <c r="F60" s="82">
        <v>50937.074371</v>
      </c>
      <c r="G60" s="84"/>
      <c r="H60" s="91"/>
      <c r="I60" s="301"/>
    </row>
    <row r="61" spans="1:9" s="218" customFormat="1" ht="22.5" customHeight="1">
      <c r="A61" s="115" t="s">
        <v>116</v>
      </c>
      <c r="B61" s="116" t="s">
        <v>241</v>
      </c>
      <c r="C61" s="117"/>
      <c r="D61" s="117"/>
      <c r="E61" s="82">
        <v>92.024478</v>
      </c>
      <c r="F61" s="82">
        <v>92.024478</v>
      </c>
      <c r="G61" s="84"/>
      <c r="H61" s="91"/>
      <c r="I61" s="301"/>
    </row>
    <row r="62" spans="1:9" s="218" customFormat="1" ht="31.5">
      <c r="A62" s="115" t="s">
        <v>122</v>
      </c>
      <c r="B62" s="116" t="s">
        <v>242</v>
      </c>
      <c r="C62" s="117"/>
      <c r="D62" s="117"/>
      <c r="E62" s="82">
        <v>2565231.745284</v>
      </c>
      <c r="F62" s="82">
        <v>2565231.745284</v>
      </c>
      <c r="G62" s="84"/>
      <c r="H62" s="84"/>
      <c r="I62" s="301"/>
    </row>
    <row r="63" spans="1:9" s="218" customFormat="1" ht="34.5" customHeight="1">
      <c r="A63" s="380" t="s">
        <v>124</v>
      </c>
      <c r="B63" s="381" t="s">
        <v>143</v>
      </c>
      <c r="C63" s="382"/>
      <c r="D63" s="382"/>
      <c r="E63" s="357">
        <f>265283.86654+444301.799364</f>
        <v>709585.6659039999</v>
      </c>
      <c r="F63" s="357">
        <f>265283.86654-152512.607592</f>
        <v>112771.25894800003</v>
      </c>
      <c r="G63" s="92"/>
      <c r="H63" s="92"/>
      <c r="I63" s="301"/>
    </row>
    <row r="64" ht="21" customHeight="1">
      <c r="A64" s="125"/>
    </row>
    <row r="65" spans="1:8" ht="36.75" customHeight="1">
      <c r="A65" s="464"/>
      <c r="B65" s="464"/>
      <c r="C65" s="464"/>
      <c r="D65" s="464"/>
      <c r="E65" s="464"/>
      <c r="F65" s="464"/>
      <c r="G65" s="464"/>
      <c r="H65" s="464"/>
    </row>
    <row r="66" spans="1:8" ht="36.75" customHeight="1">
      <c r="A66" s="464"/>
      <c r="B66" s="464"/>
      <c r="C66" s="464"/>
      <c r="D66" s="464"/>
      <c r="E66" s="464"/>
      <c r="F66" s="464"/>
      <c r="G66" s="464"/>
      <c r="H66" s="464"/>
    </row>
    <row r="67" spans="1:8" ht="49.5" customHeight="1">
      <c r="A67" s="464"/>
      <c r="B67" s="464"/>
      <c r="C67" s="464"/>
      <c r="D67" s="464"/>
      <c r="E67" s="464"/>
      <c r="F67" s="464"/>
      <c r="G67" s="464"/>
      <c r="H67" s="464"/>
    </row>
    <row r="68" spans="1:8" ht="49.5" customHeight="1">
      <c r="A68" s="464"/>
      <c r="B68" s="464"/>
      <c r="C68" s="464"/>
      <c r="D68" s="464"/>
      <c r="E68" s="464"/>
      <c r="F68" s="464"/>
      <c r="G68" s="464"/>
      <c r="H68" s="464"/>
    </row>
    <row r="69" spans="1:8" ht="69.75" customHeight="1">
      <c r="A69" s="464"/>
      <c r="B69" s="464"/>
      <c r="C69" s="464"/>
      <c r="D69" s="464"/>
      <c r="E69" s="464"/>
      <c r="F69" s="464"/>
      <c r="G69" s="464"/>
      <c r="H69" s="464"/>
    </row>
  </sheetData>
  <sheetProtection/>
  <mergeCells count="14">
    <mergeCell ref="C6:D6"/>
    <mergeCell ref="E6:F6"/>
    <mergeCell ref="G6:H6"/>
    <mergeCell ref="F5:H5"/>
    <mergeCell ref="A69:H69"/>
    <mergeCell ref="A65:H65"/>
    <mergeCell ref="A66:H66"/>
    <mergeCell ref="A67:H67"/>
    <mergeCell ref="A68:H68"/>
    <mergeCell ref="G1:H1"/>
    <mergeCell ref="A2:H2"/>
    <mergeCell ref="A3:H3"/>
    <mergeCell ref="A6:A7"/>
    <mergeCell ref="B6:B7"/>
  </mergeCells>
  <printOptions horizontalCentered="1"/>
  <pageMargins left="0" right="0" top="0.5118110236220472" bottom="0.4330708661417323" header="0.5118110236220472" footer="0.35433070866141736"/>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theme="0"/>
  </sheetPr>
  <dimension ref="A1:I61"/>
  <sheetViews>
    <sheetView view="pageBreakPreview" zoomScaleNormal="90" zoomScaleSheetLayoutView="100" zoomScalePageLayoutView="0" workbookViewId="0" topLeftCell="A1">
      <selection activeCell="A4" sqref="A4"/>
    </sheetView>
  </sheetViews>
  <sheetFormatPr defaultColWidth="9.140625" defaultRowHeight="15"/>
  <cols>
    <col min="1" max="1" width="6.421875" style="224" customWidth="1"/>
    <col min="2" max="2" width="69.00390625" style="224" customWidth="1"/>
    <col min="3" max="3" width="13.28125" style="231" customWidth="1"/>
    <col min="4" max="4" width="14.28125" style="227" bestFit="1" customWidth="1"/>
    <col min="5" max="5" width="12.28125" style="224" customWidth="1"/>
    <col min="6" max="6" width="18.7109375" style="224" bestFit="1" customWidth="1"/>
    <col min="7" max="7" width="12.57421875" style="224" bestFit="1" customWidth="1"/>
    <col min="8" max="8" width="11.00390625" style="224" bestFit="1" customWidth="1"/>
    <col min="9" max="9" width="19.57421875" style="224" bestFit="1" customWidth="1"/>
    <col min="10" max="16384" width="9.140625" style="224" customWidth="1"/>
  </cols>
  <sheetData>
    <row r="1" spans="3:5" s="192" customFormat="1" ht="20.25" customHeight="1">
      <c r="C1" s="200"/>
      <c r="D1" s="471" t="s">
        <v>11</v>
      </c>
      <c r="E1" s="471"/>
    </row>
    <row r="2" spans="1:5" s="192" customFormat="1" ht="16.5">
      <c r="A2" s="472" t="s">
        <v>353</v>
      </c>
      <c r="B2" s="472"/>
      <c r="C2" s="472"/>
      <c r="D2" s="472"/>
      <c r="E2" s="472"/>
    </row>
    <row r="3" spans="1:5" s="192" customFormat="1" ht="17.25" customHeight="1">
      <c r="A3" s="467" t="str">
        <f>'50'!A3:H3</f>
        <v>(Kèm theo Nghị quyết số      /NQ-HĐND ngày      tháng  6 năm 2024 của HĐND tỉnh Điện Biên)</v>
      </c>
      <c r="B3" s="467"/>
      <c r="C3" s="467"/>
      <c r="D3" s="467"/>
      <c r="E3" s="467"/>
    </row>
    <row r="4" spans="1:5" s="192" customFormat="1" ht="17.25" customHeight="1">
      <c r="A4" s="376"/>
      <c r="B4" s="376"/>
      <c r="C4" s="376"/>
      <c r="D4" s="347"/>
      <c r="E4" s="376"/>
    </row>
    <row r="5" spans="3:5" s="192" customFormat="1" ht="16.5">
      <c r="C5" s="200"/>
      <c r="D5" s="196"/>
      <c r="E5" s="214" t="s">
        <v>117</v>
      </c>
    </row>
    <row r="6" spans="1:5" ht="26.25" customHeight="1">
      <c r="A6" s="473" t="s">
        <v>113</v>
      </c>
      <c r="B6" s="473" t="s">
        <v>249</v>
      </c>
      <c r="C6" s="475" t="s">
        <v>140</v>
      </c>
      <c r="D6" s="477" t="s">
        <v>37</v>
      </c>
      <c r="E6" s="479" t="s">
        <v>17</v>
      </c>
    </row>
    <row r="7" spans="1:5" ht="23.25" customHeight="1">
      <c r="A7" s="474"/>
      <c r="B7" s="474"/>
      <c r="C7" s="476"/>
      <c r="D7" s="478"/>
      <c r="E7" s="480"/>
    </row>
    <row r="8" spans="1:5" ht="15.75">
      <c r="A8" s="228">
        <v>1</v>
      </c>
      <c r="B8" s="228">
        <v>2</v>
      </c>
      <c r="C8" s="368">
        <v>3</v>
      </c>
      <c r="D8" s="368">
        <v>4</v>
      </c>
      <c r="E8" s="228" t="s">
        <v>209</v>
      </c>
    </row>
    <row r="9" spans="1:6" ht="24" customHeight="1">
      <c r="A9" s="86"/>
      <c r="B9" s="87" t="s">
        <v>43</v>
      </c>
      <c r="C9" s="112">
        <f>SUM(C10,C27,C60,C61)</f>
        <v>10899756</v>
      </c>
      <c r="D9" s="383">
        <f>SUM(D10,D27,D60,D61)</f>
        <v>14861813.421392001</v>
      </c>
      <c r="E9" s="384">
        <f aca="true" t="shared" si="0" ref="E9:E15">D9/C9</f>
        <v>1.363499643605967</v>
      </c>
      <c r="F9" s="229">
        <f>D9-'48'!D20</f>
        <v>0</v>
      </c>
    </row>
    <row r="10" spans="1:5" ht="15.75">
      <c r="A10" s="83" t="s">
        <v>115</v>
      </c>
      <c r="B10" s="81" t="s">
        <v>44</v>
      </c>
      <c r="C10" s="116">
        <f>SUM(C11,C19,C23,C24:C26)</f>
        <v>9573709</v>
      </c>
      <c r="D10" s="365">
        <f>SUM(D11,D19,D23,D24:D26)</f>
        <v>8682607.613167</v>
      </c>
      <c r="E10" s="160">
        <f t="shared" si="0"/>
        <v>0.9069220312803532</v>
      </c>
    </row>
    <row r="11" spans="1:7" ht="15.75">
      <c r="A11" s="83" t="s">
        <v>123</v>
      </c>
      <c r="B11" s="81" t="s">
        <v>191</v>
      </c>
      <c r="C11" s="116">
        <f>SUM(C12,C18,C17)</f>
        <v>1897430</v>
      </c>
      <c r="D11" s="365">
        <f>SUM(D12,D18,D17)</f>
        <v>1056822.558435</v>
      </c>
      <c r="E11" s="160">
        <f t="shared" si="0"/>
        <v>0.5569757822080393</v>
      </c>
      <c r="F11" s="227"/>
      <c r="G11" s="385"/>
    </row>
    <row r="12" spans="1:5" ht="15.75">
      <c r="A12" s="62">
        <v>1</v>
      </c>
      <c r="B12" s="63" t="s">
        <v>266</v>
      </c>
      <c r="C12" s="118">
        <f>SUM(C13:C16)</f>
        <v>1897430</v>
      </c>
      <c r="D12" s="65">
        <f>SUM(D13:D16)</f>
        <v>1020653.1384350001</v>
      </c>
      <c r="E12" s="163">
        <f t="shared" si="0"/>
        <v>0.5379134610683926</v>
      </c>
    </row>
    <row r="13" spans="1:5" ht="15.75">
      <c r="A13" s="62"/>
      <c r="B13" s="63" t="s">
        <v>348</v>
      </c>
      <c r="C13" s="118">
        <v>679230</v>
      </c>
      <c r="D13" s="65">
        <v>718905.049158</v>
      </c>
      <c r="E13" s="163"/>
    </row>
    <row r="14" spans="1:9" ht="15.75">
      <c r="A14" s="62"/>
      <c r="B14" s="63" t="s">
        <v>394</v>
      </c>
      <c r="C14" s="118">
        <v>1182200</v>
      </c>
      <c r="D14" s="65">
        <f>282906.35366-36169.42+4106.390067</f>
        <v>250843.32372700004</v>
      </c>
      <c r="E14" s="163">
        <f t="shared" si="0"/>
        <v>0.21218349156403318</v>
      </c>
      <c r="I14" s="386"/>
    </row>
    <row r="15" spans="1:9" ht="15.75">
      <c r="A15" s="62"/>
      <c r="B15" s="63" t="s">
        <v>14</v>
      </c>
      <c r="C15" s="118">
        <v>36000</v>
      </c>
      <c r="D15" s="65">
        <v>32726.283419</v>
      </c>
      <c r="E15" s="163">
        <f t="shared" si="0"/>
        <v>0.9090634283055555</v>
      </c>
      <c r="I15" s="387"/>
    </row>
    <row r="16" spans="1:9" ht="15.75">
      <c r="A16" s="62"/>
      <c r="B16" s="63" t="s">
        <v>15</v>
      </c>
      <c r="C16" s="118"/>
      <c r="D16" s="65">
        <f>22284.872198-4106.390067</f>
        <v>18178.482131</v>
      </c>
      <c r="E16" s="163"/>
      <c r="I16" s="387"/>
    </row>
    <row r="17" spans="1:5" ht="51.75" customHeight="1" hidden="1">
      <c r="A17" s="62">
        <v>2</v>
      </c>
      <c r="B17" s="63" t="s">
        <v>308</v>
      </c>
      <c r="C17" s="118"/>
      <c r="D17" s="65"/>
      <c r="E17" s="118"/>
    </row>
    <row r="18" spans="1:5" ht="15.75">
      <c r="A18" s="62">
        <v>2</v>
      </c>
      <c r="B18" s="63" t="s">
        <v>309</v>
      </c>
      <c r="C18" s="118"/>
      <c r="D18" s="65">
        <v>36169.42</v>
      </c>
      <c r="E18" s="118"/>
    </row>
    <row r="19" spans="1:8" ht="15.75">
      <c r="A19" s="83" t="s">
        <v>119</v>
      </c>
      <c r="B19" s="81" t="s">
        <v>126</v>
      </c>
      <c r="C19" s="116">
        <v>7474909</v>
      </c>
      <c r="D19" s="365">
        <v>7619185.797732</v>
      </c>
      <c r="E19" s="160">
        <f>D19/C19</f>
        <v>1.0193014788182706</v>
      </c>
      <c r="F19" s="227"/>
      <c r="H19" s="388"/>
    </row>
    <row r="20" spans="1:5" ht="15.75">
      <c r="A20" s="62"/>
      <c r="B20" s="389" t="s">
        <v>229</v>
      </c>
      <c r="C20" s="118"/>
      <c r="D20" s="65"/>
      <c r="E20" s="118"/>
    </row>
    <row r="21" spans="1:5" ht="15.75">
      <c r="A21" s="62">
        <v>1</v>
      </c>
      <c r="B21" s="389" t="s">
        <v>202</v>
      </c>
      <c r="C21" s="390">
        <v>3598344</v>
      </c>
      <c r="D21" s="391">
        <v>3726653.045732</v>
      </c>
      <c r="E21" s="163">
        <f>D21/C21</f>
        <v>1.035657804182146</v>
      </c>
    </row>
    <row r="22" spans="1:5" ht="15.75">
      <c r="A22" s="62">
        <v>2</v>
      </c>
      <c r="B22" s="389" t="s">
        <v>203</v>
      </c>
      <c r="C22" s="390">
        <v>18481</v>
      </c>
      <c r="D22" s="391">
        <v>13211.607522</v>
      </c>
      <c r="E22" s="163">
        <f>D22/C22</f>
        <v>0.7148751432281804</v>
      </c>
    </row>
    <row r="23" spans="1:5" ht="15.75">
      <c r="A23" s="83" t="s">
        <v>120</v>
      </c>
      <c r="B23" s="81" t="s">
        <v>127</v>
      </c>
      <c r="C23" s="116">
        <v>7500</v>
      </c>
      <c r="D23" s="365">
        <v>5599.257</v>
      </c>
      <c r="E23" s="160">
        <f>D23/C23</f>
        <v>0.7465676</v>
      </c>
    </row>
    <row r="24" spans="1:5" ht="15.75">
      <c r="A24" s="83" t="s">
        <v>121</v>
      </c>
      <c r="B24" s="81" t="s">
        <v>156</v>
      </c>
      <c r="C24" s="116">
        <v>1000</v>
      </c>
      <c r="D24" s="365">
        <v>1000</v>
      </c>
      <c r="E24" s="160">
        <f>D24/C24</f>
        <v>1</v>
      </c>
    </row>
    <row r="25" spans="1:5" ht="15.75">
      <c r="A25" s="83" t="s">
        <v>226</v>
      </c>
      <c r="B25" s="81" t="s">
        <v>157</v>
      </c>
      <c r="C25" s="116">
        <v>192870</v>
      </c>
      <c r="D25" s="65"/>
      <c r="E25" s="118"/>
    </row>
    <row r="26" spans="1:5" ht="15.75">
      <c r="A26" s="83" t="s">
        <v>204</v>
      </c>
      <c r="B26" s="81" t="s">
        <v>128</v>
      </c>
      <c r="C26" s="116"/>
      <c r="D26" s="65"/>
      <c r="E26" s="118"/>
    </row>
    <row r="27" spans="1:5" ht="15.75">
      <c r="A27" s="83" t="s">
        <v>116</v>
      </c>
      <c r="B27" s="81" t="s">
        <v>205</v>
      </c>
      <c r="C27" s="116">
        <f>SUM(C28,C38)</f>
        <v>1326047</v>
      </c>
      <c r="D27" s="365">
        <f>D28+D38</f>
        <v>1751534.37821</v>
      </c>
      <c r="E27" s="160"/>
    </row>
    <row r="28" spans="1:5" ht="15.75">
      <c r="A28" s="83" t="s">
        <v>123</v>
      </c>
      <c r="B28" s="81" t="s">
        <v>159</v>
      </c>
      <c r="C28" s="116"/>
      <c r="D28" s="365">
        <f>D29+D32+D35</f>
        <v>459449.06017</v>
      </c>
      <c r="E28" s="160"/>
    </row>
    <row r="29" spans="1:5" ht="31.5">
      <c r="A29" s="83">
        <v>1</v>
      </c>
      <c r="B29" s="392" t="s">
        <v>354</v>
      </c>
      <c r="C29" s="116"/>
      <c r="D29" s="365">
        <f>D30+D31</f>
        <v>161856.357539</v>
      </c>
      <c r="E29" s="160"/>
    </row>
    <row r="30" spans="1:5" ht="15.75">
      <c r="A30" s="161"/>
      <c r="B30" s="166" t="s">
        <v>169</v>
      </c>
      <c r="C30" s="118"/>
      <c r="D30" s="65">
        <v>116115.302678</v>
      </c>
      <c r="E30" s="163"/>
    </row>
    <row r="31" spans="1:5" ht="15.75">
      <c r="A31" s="161"/>
      <c r="B31" s="166" t="s">
        <v>170</v>
      </c>
      <c r="C31" s="118"/>
      <c r="D31" s="65">
        <v>45741.054861</v>
      </c>
      <c r="E31" s="163"/>
    </row>
    <row r="32" spans="1:5" ht="15.75">
      <c r="A32" s="225">
        <v>2</v>
      </c>
      <c r="B32" s="392" t="s">
        <v>355</v>
      </c>
      <c r="C32" s="116"/>
      <c r="D32" s="365">
        <f>D33+D34</f>
        <v>189010.568464</v>
      </c>
      <c r="E32" s="160"/>
    </row>
    <row r="33" spans="1:5" ht="15.75">
      <c r="A33" s="161"/>
      <c r="B33" s="166" t="s">
        <v>169</v>
      </c>
      <c r="C33" s="118"/>
      <c r="D33" s="65">
        <f>145133.335862+5677.549</f>
        <v>150810.884862</v>
      </c>
      <c r="E33" s="163"/>
    </row>
    <row r="34" spans="1:5" ht="15.75">
      <c r="A34" s="161"/>
      <c r="B34" s="166" t="s">
        <v>170</v>
      </c>
      <c r="C34" s="118"/>
      <c r="D34" s="65">
        <v>38199.683602</v>
      </c>
      <c r="E34" s="163"/>
    </row>
    <row r="35" spans="1:5" ht="15.75">
      <c r="A35" s="225">
        <v>3</v>
      </c>
      <c r="B35" s="226" t="s">
        <v>171</v>
      </c>
      <c r="C35" s="116"/>
      <c r="D35" s="365">
        <f>D36+D37</f>
        <v>108582.134167</v>
      </c>
      <c r="E35" s="160"/>
    </row>
    <row r="36" spans="1:5" ht="15.75">
      <c r="A36" s="161"/>
      <c r="B36" s="168" t="s">
        <v>172</v>
      </c>
      <c r="C36" s="118"/>
      <c r="D36" s="65">
        <f>102547.91242+711.873</f>
        <v>103259.78542</v>
      </c>
      <c r="E36" s="163"/>
    </row>
    <row r="37" spans="1:5" ht="15.75">
      <c r="A37" s="161"/>
      <c r="B37" s="168" t="s">
        <v>173</v>
      </c>
      <c r="C37" s="118"/>
      <c r="D37" s="65">
        <v>5322.348747</v>
      </c>
      <c r="E37" s="163"/>
    </row>
    <row r="38" spans="1:5" ht="15.75">
      <c r="A38" s="83" t="s">
        <v>119</v>
      </c>
      <c r="B38" s="81" t="s">
        <v>62</v>
      </c>
      <c r="C38" s="116">
        <f>SUM(C39,C47)</f>
        <v>1326047</v>
      </c>
      <c r="D38" s="365">
        <f>SUM(D39,D47)</f>
        <v>1292085.31804</v>
      </c>
      <c r="E38" s="160">
        <f>D38/C38</f>
        <v>0.9743887796133923</v>
      </c>
    </row>
    <row r="39" spans="1:5" ht="15.75">
      <c r="A39" s="225">
        <v>1</v>
      </c>
      <c r="B39" s="226" t="s">
        <v>61</v>
      </c>
      <c r="C39" s="116">
        <f>SUM(C40:C42)</f>
        <v>1256896</v>
      </c>
      <c r="D39" s="365">
        <f>SUM(D40:D42)</f>
        <v>1185948.78079</v>
      </c>
      <c r="E39" s="160">
        <f>D39/C39</f>
        <v>0.9435536279771755</v>
      </c>
    </row>
    <row r="40" spans="1:5" ht="15.75">
      <c r="A40" s="161"/>
      <c r="B40" s="168" t="s">
        <v>356</v>
      </c>
      <c r="C40" s="118">
        <v>84520</v>
      </c>
      <c r="D40" s="65">
        <v>86323.193226</v>
      </c>
      <c r="E40" s="163">
        <f>D40/C40</f>
        <v>1.0213345152153337</v>
      </c>
    </row>
    <row r="41" spans="1:5" ht="15.75">
      <c r="A41" s="161"/>
      <c r="B41" s="168" t="s">
        <v>357</v>
      </c>
      <c r="C41" s="118">
        <v>1172376</v>
      </c>
      <c r="D41" s="65">
        <v>1098496.965903</v>
      </c>
      <c r="E41" s="163">
        <f>D41/C41</f>
        <v>0.9369834983853302</v>
      </c>
    </row>
    <row r="42" spans="1:5" ht="15.75">
      <c r="A42" s="161"/>
      <c r="B42" s="168" t="s">
        <v>358</v>
      </c>
      <c r="C42" s="118"/>
      <c r="D42" s="65">
        <v>1128.621661</v>
      </c>
      <c r="E42" s="163"/>
    </row>
    <row r="43" spans="1:5" ht="15.75" hidden="1">
      <c r="A43" s="168"/>
      <c r="B43" s="168" t="s">
        <v>268</v>
      </c>
      <c r="C43" s="118"/>
      <c r="D43" s="65"/>
      <c r="E43" s="118"/>
    </row>
    <row r="44" spans="1:5" ht="15.75" hidden="1">
      <c r="A44" s="168"/>
      <c r="B44" s="168" t="s">
        <v>270</v>
      </c>
      <c r="C44" s="118"/>
      <c r="D44" s="65">
        <v>5856.590734</v>
      </c>
      <c r="E44" s="118"/>
    </row>
    <row r="45" spans="1:5" ht="15.75" hidden="1">
      <c r="A45" s="168"/>
      <c r="B45" s="168" t="s">
        <v>269</v>
      </c>
      <c r="C45" s="118"/>
      <c r="D45" s="65"/>
      <c r="E45" s="118"/>
    </row>
    <row r="46" spans="1:5" ht="15.75" hidden="1">
      <c r="A46" s="168"/>
      <c r="B46" s="168" t="s">
        <v>257</v>
      </c>
      <c r="C46" s="118"/>
      <c r="D46" s="65">
        <v>159.6918</v>
      </c>
      <c r="E46" s="118"/>
    </row>
    <row r="47" spans="1:5" ht="15.75">
      <c r="A47" s="115">
        <v>2</v>
      </c>
      <c r="B47" s="116" t="s">
        <v>83</v>
      </c>
      <c r="C47" s="116">
        <f>SUM(C48:C59)</f>
        <v>69151</v>
      </c>
      <c r="D47" s="365">
        <f>SUM(D48:D59)</f>
        <v>106136.53725</v>
      </c>
      <c r="E47" s="160">
        <f aca="true" t="shared" si="1" ref="E47:E53">D47/C47</f>
        <v>1.5348518061922458</v>
      </c>
    </row>
    <row r="48" spans="1:5" ht="35.25" customHeight="1">
      <c r="A48" s="161"/>
      <c r="B48" s="166" t="s">
        <v>359</v>
      </c>
      <c r="C48" s="118">
        <v>3200</v>
      </c>
      <c r="D48" s="65"/>
      <c r="E48" s="163">
        <f t="shared" si="1"/>
        <v>0</v>
      </c>
    </row>
    <row r="49" spans="1:5" ht="18" customHeight="1">
      <c r="A49" s="161"/>
      <c r="B49" s="162" t="s">
        <v>360</v>
      </c>
      <c r="C49" s="165">
        <v>2000</v>
      </c>
      <c r="D49" s="366"/>
      <c r="E49" s="163">
        <f t="shared" si="1"/>
        <v>0</v>
      </c>
    </row>
    <row r="50" spans="1:5" ht="18" customHeight="1">
      <c r="A50" s="122"/>
      <c r="B50" s="166" t="s">
        <v>361</v>
      </c>
      <c r="C50" s="118">
        <v>10000</v>
      </c>
      <c r="D50" s="65">
        <v>13295.8875</v>
      </c>
      <c r="E50" s="163">
        <f t="shared" si="1"/>
        <v>1.32958875</v>
      </c>
    </row>
    <row r="51" spans="1:5" ht="31.5">
      <c r="A51" s="161"/>
      <c r="B51" s="63" t="s">
        <v>364</v>
      </c>
      <c r="C51" s="165">
        <v>250</v>
      </c>
      <c r="D51" s="366">
        <v>250</v>
      </c>
      <c r="E51" s="167">
        <f t="shared" si="1"/>
        <v>1</v>
      </c>
    </row>
    <row r="52" spans="1:6" ht="18" customHeight="1">
      <c r="A52" s="161"/>
      <c r="B52" s="164" t="s">
        <v>362</v>
      </c>
      <c r="C52" s="165">
        <v>9000</v>
      </c>
      <c r="D52" s="366">
        <v>9000</v>
      </c>
      <c r="E52" s="163">
        <f t="shared" si="1"/>
        <v>1</v>
      </c>
      <c r="F52" s="227"/>
    </row>
    <row r="53" spans="1:6" ht="18" customHeight="1">
      <c r="A53" s="161"/>
      <c r="B53" s="164" t="s">
        <v>363</v>
      </c>
      <c r="C53" s="165">
        <v>44701</v>
      </c>
      <c r="D53" s="366">
        <v>44701</v>
      </c>
      <c r="E53" s="163">
        <f t="shared" si="1"/>
        <v>1</v>
      </c>
      <c r="F53" s="227"/>
    </row>
    <row r="54" spans="1:5" ht="33.75" customHeight="1">
      <c r="A54" s="161"/>
      <c r="B54" s="166" t="s">
        <v>365</v>
      </c>
      <c r="C54" s="118"/>
      <c r="D54" s="65">
        <v>301</v>
      </c>
      <c r="E54" s="163"/>
    </row>
    <row r="55" spans="1:5" ht="18" customHeight="1">
      <c r="A55" s="161"/>
      <c r="B55" s="166" t="s">
        <v>366</v>
      </c>
      <c r="C55" s="118"/>
      <c r="D55" s="65">
        <v>12901.76</v>
      </c>
      <c r="E55" s="163"/>
    </row>
    <row r="56" spans="1:5" ht="18" customHeight="1">
      <c r="A56" s="122"/>
      <c r="B56" s="168" t="s">
        <v>1</v>
      </c>
      <c r="C56" s="118"/>
      <c r="D56" s="65">
        <v>4893.98045</v>
      </c>
      <c r="E56" s="163"/>
    </row>
    <row r="57" spans="1:6" ht="18" customHeight="1">
      <c r="A57" s="122"/>
      <c r="B57" s="168" t="s">
        <v>367</v>
      </c>
      <c r="C57" s="118"/>
      <c r="D57" s="65">
        <v>16983.529867</v>
      </c>
      <c r="E57" s="163"/>
      <c r="F57" s="229"/>
    </row>
    <row r="58" spans="1:5" ht="36.75" customHeight="1">
      <c r="A58" s="161"/>
      <c r="B58" s="166" t="s">
        <v>368</v>
      </c>
      <c r="C58" s="118"/>
      <c r="D58" s="65">
        <v>36.586</v>
      </c>
      <c r="E58" s="163"/>
    </row>
    <row r="59" spans="1:5" ht="34.5" customHeight="1">
      <c r="A59" s="161"/>
      <c r="B59" s="166" t="s">
        <v>2</v>
      </c>
      <c r="C59" s="118"/>
      <c r="D59" s="65">
        <v>3772.793433</v>
      </c>
      <c r="E59" s="163"/>
    </row>
    <row r="60" spans="1:5" ht="19.5" customHeight="1">
      <c r="A60" s="83" t="s">
        <v>122</v>
      </c>
      <c r="B60" s="81" t="s">
        <v>59</v>
      </c>
      <c r="C60" s="118"/>
      <c r="D60" s="365">
        <f>4168960.142252-444301.799364-6572.578777</f>
        <v>3718085.764111</v>
      </c>
      <c r="E60" s="118"/>
    </row>
    <row r="61" spans="1:5" ht="22.5" customHeight="1">
      <c r="A61" s="377" t="s">
        <v>124</v>
      </c>
      <c r="B61" s="393" t="s">
        <v>105</v>
      </c>
      <c r="C61" s="394"/>
      <c r="D61" s="357">
        <f>265283.86654+444301.799364</f>
        <v>709585.6659039999</v>
      </c>
      <c r="E61" s="394"/>
    </row>
  </sheetData>
  <sheetProtection/>
  <mergeCells count="8">
    <mergeCell ref="D1:E1"/>
    <mergeCell ref="A2:E2"/>
    <mergeCell ref="A3:E3"/>
    <mergeCell ref="A6:A7"/>
    <mergeCell ref="B6:B7"/>
    <mergeCell ref="C6:C7"/>
    <mergeCell ref="D6:D7"/>
    <mergeCell ref="E6:E7"/>
  </mergeCells>
  <printOptions horizontalCentered="1"/>
  <pageMargins left="0" right="0" top="0.49" bottom="0.44" header="0.5118110236220472" footer="0.4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theme="0"/>
  </sheetPr>
  <dimension ref="A1:G50"/>
  <sheetViews>
    <sheetView view="pageBreakPreview" zoomScale="130" zoomScaleSheetLayoutView="130" zoomScalePageLayoutView="0" workbookViewId="0" topLeftCell="A1">
      <selection activeCell="B11" sqref="B11"/>
    </sheetView>
  </sheetViews>
  <sheetFormatPr defaultColWidth="9.140625" defaultRowHeight="15"/>
  <cols>
    <col min="1" max="1" width="6.28125" style="224" customWidth="1"/>
    <col min="2" max="2" width="61.140625" style="224" customWidth="1"/>
    <col min="3" max="3" width="13.57421875" style="224" customWidth="1"/>
    <col min="4" max="4" width="15.28125" style="227" customWidth="1"/>
    <col min="5" max="5" width="12.140625" style="224" customWidth="1"/>
    <col min="6" max="6" width="11.57421875" style="224" customWidth="1"/>
    <col min="7" max="7" width="14.7109375" style="224" customWidth="1"/>
    <col min="8" max="8" width="21.28125" style="224" customWidth="1"/>
    <col min="9" max="16384" width="9.140625" style="224" customWidth="1"/>
  </cols>
  <sheetData>
    <row r="1" spans="4:5" s="192" customFormat="1" ht="17.25" customHeight="1">
      <c r="D1" s="471" t="s">
        <v>12</v>
      </c>
      <c r="E1" s="471"/>
    </row>
    <row r="2" spans="1:5" s="192" customFormat="1" ht="41.25" customHeight="1">
      <c r="A2" s="466" t="s">
        <v>369</v>
      </c>
      <c r="B2" s="466"/>
      <c r="C2" s="466"/>
      <c r="D2" s="466"/>
      <c r="E2" s="466"/>
    </row>
    <row r="3" spans="1:5" s="192" customFormat="1" ht="16.5">
      <c r="A3" s="467" t="str">
        <f>'51'!A3:E3</f>
        <v>(Kèm theo Nghị quyết số      /NQ-HĐND ngày      tháng  6 năm 2024 của HĐND tỉnh Điện Biên)</v>
      </c>
      <c r="B3" s="467"/>
      <c r="C3" s="467"/>
      <c r="D3" s="467"/>
      <c r="E3" s="467"/>
    </row>
    <row r="4" spans="1:5" s="192" customFormat="1" ht="16.5">
      <c r="A4" s="195"/>
      <c r="B4" s="195"/>
      <c r="C4" s="195"/>
      <c r="D4" s="347"/>
      <c r="E4" s="195"/>
    </row>
    <row r="5" spans="4:5" s="192" customFormat="1" ht="16.5">
      <c r="D5" s="470" t="s">
        <v>210</v>
      </c>
      <c r="E5" s="470"/>
    </row>
    <row r="6" spans="1:5" ht="15.75" customHeight="1">
      <c r="A6" s="468" t="s">
        <v>113</v>
      </c>
      <c r="B6" s="468" t="s">
        <v>16</v>
      </c>
      <c r="C6" s="479" t="s">
        <v>140</v>
      </c>
      <c r="D6" s="481" t="s">
        <v>37</v>
      </c>
      <c r="E6" s="479" t="s">
        <v>17</v>
      </c>
    </row>
    <row r="7" spans="1:5" ht="17.25" customHeight="1">
      <c r="A7" s="468"/>
      <c r="B7" s="468"/>
      <c r="C7" s="480"/>
      <c r="D7" s="482"/>
      <c r="E7" s="480"/>
    </row>
    <row r="8" spans="1:5" ht="15.75">
      <c r="A8" s="228" t="s">
        <v>115</v>
      </c>
      <c r="B8" s="228" t="s">
        <v>116</v>
      </c>
      <c r="C8" s="228">
        <v>1</v>
      </c>
      <c r="D8" s="368">
        <v>2</v>
      </c>
      <c r="E8" s="228" t="s">
        <v>162</v>
      </c>
    </row>
    <row r="9" spans="1:7" s="171" customFormat="1" ht="15.75">
      <c r="A9" s="170"/>
      <c r="B9" s="172" t="s">
        <v>125</v>
      </c>
      <c r="C9" s="173">
        <f>C10+C13+C49+C50</f>
        <v>10372456</v>
      </c>
      <c r="D9" s="367">
        <f>D10+D13+D49+D50</f>
        <v>13519008.280411001</v>
      </c>
      <c r="E9" s="91">
        <f aca="true" t="shared" si="0" ref="E9:E15">D9/C9</f>
        <v>1.303356531993098</v>
      </c>
      <c r="F9" s="174"/>
      <c r="G9" s="175"/>
    </row>
    <row r="10" spans="1:5" ht="15.75">
      <c r="A10" s="83" t="s">
        <v>115</v>
      </c>
      <c r="B10" s="81" t="s">
        <v>103</v>
      </c>
      <c r="C10" s="90">
        <f>SUM(C11:C12)</f>
        <v>4987703</v>
      </c>
      <c r="D10" s="82">
        <f>SUM(D11:D12)</f>
        <v>5842356.8669920005</v>
      </c>
      <c r="E10" s="91">
        <f t="shared" si="0"/>
        <v>1.1713521969916814</v>
      </c>
    </row>
    <row r="11" spans="1:5" ht="15.75">
      <c r="A11" s="62">
        <v>1</v>
      </c>
      <c r="B11" s="63" t="s">
        <v>104</v>
      </c>
      <c r="C11" s="46">
        <v>4986803</v>
      </c>
      <c r="D11" s="356">
        <v>4986803</v>
      </c>
      <c r="E11" s="84">
        <f t="shared" si="0"/>
        <v>1</v>
      </c>
    </row>
    <row r="12" spans="1:5" ht="15.75">
      <c r="A12" s="62">
        <v>2</v>
      </c>
      <c r="B12" s="63" t="s">
        <v>42</v>
      </c>
      <c r="C12" s="46">
        <v>900</v>
      </c>
      <c r="D12" s="356">
        <v>855553.866992</v>
      </c>
      <c r="E12" s="84">
        <f t="shared" si="0"/>
        <v>950.6154077688889</v>
      </c>
    </row>
    <row r="13" spans="1:6" ht="15.75">
      <c r="A13" s="86" t="s">
        <v>116</v>
      </c>
      <c r="B13" s="87" t="s">
        <v>311</v>
      </c>
      <c r="C13" s="88">
        <f>C14+C31+C45+C46+C47+C48</f>
        <v>5384753</v>
      </c>
      <c r="D13" s="360">
        <f>SUM(D14,D45,D31,D46:D48)</f>
        <v>4359067.120084001</v>
      </c>
      <c r="E13" s="89">
        <f t="shared" si="0"/>
        <v>0.8095203475598604</v>
      </c>
      <c r="F13" s="229"/>
    </row>
    <row r="14" spans="1:7" ht="15.75">
      <c r="A14" s="83" t="s">
        <v>123</v>
      </c>
      <c r="B14" s="81" t="s">
        <v>191</v>
      </c>
      <c r="C14" s="90">
        <f>SUM(C15,C29,C30)</f>
        <v>2840443</v>
      </c>
      <c r="D14" s="82">
        <f>SUM(D15,D29,D30)</f>
        <v>2012755.557202</v>
      </c>
      <c r="E14" s="91">
        <f t="shared" si="0"/>
        <v>0.708606212904818</v>
      </c>
      <c r="F14" s="229"/>
      <c r="G14" s="229"/>
    </row>
    <row r="15" spans="1:6" ht="15.75">
      <c r="A15" s="62">
        <v>1</v>
      </c>
      <c r="B15" s="63" t="s">
        <v>18</v>
      </c>
      <c r="C15" s="46">
        <f>1583547+1256896</f>
        <v>2840443</v>
      </c>
      <c r="D15" s="356">
        <f>SUM(D16:D28)</f>
        <v>1976586.137202</v>
      </c>
      <c r="E15" s="84">
        <f t="shared" si="0"/>
        <v>0.695872487918962</v>
      </c>
      <c r="F15" s="229"/>
    </row>
    <row r="16" spans="1:5" ht="15.75">
      <c r="A16" s="62" t="s">
        <v>164</v>
      </c>
      <c r="B16" s="63" t="s">
        <v>63</v>
      </c>
      <c r="C16" s="46"/>
      <c r="D16" s="356">
        <v>54213.095</v>
      </c>
      <c r="E16" s="84"/>
    </row>
    <row r="17" spans="1:5" ht="15.75">
      <c r="A17" s="62" t="s">
        <v>165</v>
      </c>
      <c r="B17" s="63" t="s">
        <v>64</v>
      </c>
      <c r="C17" s="46"/>
      <c r="D17" s="356">
        <v>2377.845209</v>
      </c>
      <c r="E17" s="84"/>
    </row>
    <row r="18" spans="1:5" ht="15.75">
      <c r="A18" s="62" t="s">
        <v>166</v>
      </c>
      <c r="B18" s="63" t="s">
        <v>19</v>
      </c>
      <c r="C18" s="46"/>
      <c r="D18" s="356">
        <v>192973.675701</v>
      </c>
      <c r="E18" s="84"/>
    </row>
    <row r="19" spans="1:5" ht="15.75">
      <c r="A19" s="62" t="s">
        <v>167</v>
      </c>
      <c r="B19" s="63" t="s">
        <v>20</v>
      </c>
      <c r="C19" s="46"/>
      <c r="D19" s="356">
        <v>40892.44123</v>
      </c>
      <c r="E19" s="84"/>
    </row>
    <row r="20" spans="1:5" ht="15.75">
      <c r="A20" s="62" t="s">
        <v>168</v>
      </c>
      <c r="B20" s="63" t="s">
        <v>21</v>
      </c>
      <c r="C20" s="46"/>
      <c r="D20" s="356">
        <v>106292.593962</v>
      </c>
      <c r="E20" s="84"/>
    </row>
    <row r="21" spans="1:5" ht="15.75">
      <c r="A21" s="62" t="s">
        <v>22</v>
      </c>
      <c r="B21" s="63" t="s">
        <v>23</v>
      </c>
      <c r="C21" s="46"/>
      <c r="D21" s="356">
        <v>18917.064</v>
      </c>
      <c r="E21" s="84"/>
    </row>
    <row r="22" spans="1:5" ht="15.75">
      <c r="A22" s="62" t="s">
        <v>24</v>
      </c>
      <c r="B22" s="63" t="s">
        <v>25</v>
      </c>
      <c r="C22" s="46"/>
      <c r="D22" s="356">
        <v>10195.906656</v>
      </c>
      <c r="E22" s="84"/>
    </row>
    <row r="23" spans="1:5" ht="15.75">
      <c r="A23" s="62" t="s">
        <v>26</v>
      </c>
      <c r="B23" s="63" t="s">
        <v>27</v>
      </c>
      <c r="C23" s="46"/>
      <c r="D23" s="356">
        <v>6994.872</v>
      </c>
      <c r="E23" s="84"/>
    </row>
    <row r="24" spans="1:5" ht="15.75">
      <c r="A24" s="62" t="s">
        <v>28</v>
      </c>
      <c r="B24" s="63" t="s">
        <v>29</v>
      </c>
      <c r="C24" s="46"/>
      <c r="D24" s="356">
        <v>171667.403578</v>
      </c>
      <c r="E24" s="84"/>
    </row>
    <row r="25" spans="1:5" ht="15.75">
      <c r="A25" s="62" t="s">
        <v>30</v>
      </c>
      <c r="B25" s="63" t="s">
        <v>65</v>
      </c>
      <c r="C25" s="46"/>
      <c r="D25" s="356">
        <v>1268863.360852</v>
      </c>
      <c r="E25" s="84"/>
    </row>
    <row r="26" spans="1:5" ht="36" customHeight="1">
      <c r="A26" s="62" t="s">
        <v>31</v>
      </c>
      <c r="B26" s="63" t="s">
        <v>84</v>
      </c>
      <c r="C26" s="46"/>
      <c r="D26" s="356">
        <v>99197.879014</v>
      </c>
      <c r="E26" s="84"/>
    </row>
    <row r="27" spans="1:5" ht="15.75">
      <c r="A27" s="62" t="s">
        <v>85</v>
      </c>
      <c r="B27" s="63" t="s">
        <v>86</v>
      </c>
      <c r="C27" s="46"/>
      <c r="D27" s="356">
        <v>4000</v>
      </c>
      <c r="E27" s="84"/>
    </row>
    <row r="28" spans="1:5" ht="15.75">
      <c r="A28" s="62" t="s">
        <v>87</v>
      </c>
      <c r="B28" s="63" t="s">
        <v>88</v>
      </c>
      <c r="C28" s="46"/>
      <c r="D28" s="356"/>
      <c r="E28" s="84"/>
    </row>
    <row r="29" spans="1:5" ht="47.25" hidden="1">
      <c r="A29" s="83">
        <v>2</v>
      </c>
      <c r="B29" s="81" t="s">
        <v>265</v>
      </c>
      <c r="C29" s="90"/>
      <c r="D29" s="82"/>
      <c r="E29" s="84"/>
    </row>
    <row r="30" spans="1:5" ht="15.75" customHeight="1">
      <c r="A30" s="62">
        <v>2</v>
      </c>
      <c r="B30" s="63" t="s">
        <v>309</v>
      </c>
      <c r="C30" s="46"/>
      <c r="D30" s="356">
        <v>36169.42</v>
      </c>
      <c r="E30" s="84"/>
    </row>
    <row r="31" spans="1:7" ht="15.75" customHeight="1">
      <c r="A31" s="83" t="s">
        <v>310</v>
      </c>
      <c r="B31" s="81" t="s">
        <v>126</v>
      </c>
      <c r="C31" s="90">
        <f>SUM(C32:C44)</f>
        <v>2453223</v>
      </c>
      <c r="D31" s="82">
        <f>SUM(D32:D44)</f>
        <v>2339712.305882001</v>
      </c>
      <c r="E31" s="91">
        <f aca="true" t="shared" si="1" ref="E31:E43">D31/C31</f>
        <v>0.9537299731341182</v>
      </c>
      <c r="F31" s="230"/>
      <c r="G31" s="230"/>
    </row>
    <row r="32" spans="1:7" ht="15.75">
      <c r="A32" s="62" t="s">
        <v>89</v>
      </c>
      <c r="B32" s="63" t="s">
        <v>63</v>
      </c>
      <c r="C32" s="46">
        <f>91820+10000</f>
        <v>101820</v>
      </c>
      <c r="D32" s="356">
        <v>111530.43149999999</v>
      </c>
      <c r="E32" s="84">
        <f t="shared" si="1"/>
        <v>1.0953686063641719</v>
      </c>
      <c r="F32" s="231"/>
      <c r="G32" s="231"/>
    </row>
    <row r="33" spans="1:7" ht="15.75">
      <c r="A33" s="62" t="s">
        <v>90</v>
      </c>
      <c r="B33" s="63" t="s">
        <v>64</v>
      </c>
      <c r="C33" s="46">
        <f>18071+8100</f>
        <v>26171</v>
      </c>
      <c r="D33" s="356">
        <v>34156.43924</v>
      </c>
      <c r="E33" s="84">
        <f t="shared" si="1"/>
        <v>1.3051254915746437</v>
      </c>
      <c r="F33" s="231"/>
      <c r="G33" s="231"/>
    </row>
    <row r="34" spans="1:6" ht="15.75">
      <c r="A34" s="62" t="s">
        <v>91</v>
      </c>
      <c r="B34" s="63" t="s">
        <v>19</v>
      </c>
      <c r="C34" s="46">
        <f>582842+250</f>
        <v>583092</v>
      </c>
      <c r="D34" s="356">
        <v>575922.900459</v>
      </c>
      <c r="E34" s="84">
        <f t="shared" si="1"/>
        <v>0.9877050284672059</v>
      </c>
      <c r="F34" s="231"/>
    </row>
    <row r="35" spans="1:5" ht="15.75">
      <c r="A35" s="62" t="s">
        <v>92</v>
      </c>
      <c r="B35" s="63" t="s">
        <v>20</v>
      </c>
      <c r="C35" s="46">
        <f>14903+2000</f>
        <v>16903</v>
      </c>
      <c r="D35" s="356">
        <v>9486.711501</v>
      </c>
      <c r="E35" s="84">
        <f t="shared" si="1"/>
        <v>0.5612442466426079</v>
      </c>
    </row>
    <row r="36" spans="1:5" ht="15.75">
      <c r="A36" s="62" t="s">
        <v>93</v>
      </c>
      <c r="B36" s="63" t="s">
        <v>21</v>
      </c>
      <c r="C36" s="46">
        <f>764040+3200</f>
        <v>767240</v>
      </c>
      <c r="D36" s="356">
        <v>808199.9746460001</v>
      </c>
      <c r="E36" s="84">
        <f t="shared" si="1"/>
        <v>1.0533861303451333</v>
      </c>
    </row>
    <row r="37" spans="1:5" ht="15.75">
      <c r="A37" s="62" t="s">
        <v>94</v>
      </c>
      <c r="B37" s="63" t="s">
        <v>23</v>
      </c>
      <c r="C37" s="46">
        <v>51244</v>
      </c>
      <c r="D37" s="356">
        <v>74206.85276600001</v>
      </c>
      <c r="E37" s="84">
        <f t="shared" si="1"/>
        <v>1.4481081251658734</v>
      </c>
    </row>
    <row r="38" spans="1:5" ht="15.75">
      <c r="A38" s="62" t="s">
        <v>95</v>
      </c>
      <c r="B38" s="63" t="s">
        <v>25</v>
      </c>
      <c r="C38" s="46">
        <v>26466</v>
      </c>
      <c r="D38" s="356">
        <v>27092.154</v>
      </c>
      <c r="E38" s="84">
        <f t="shared" si="1"/>
        <v>1.023658807526638</v>
      </c>
    </row>
    <row r="39" spans="1:5" ht="15.75">
      <c r="A39" s="62" t="s">
        <v>96</v>
      </c>
      <c r="B39" s="63" t="s">
        <v>27</v>
      </c>
      <c r="C39" s="46">
        <v>9618</v>
      </c>
      <c r="D39" s="356">
        <v>9535.411</v>
      </c>
      <c r="E39" s="84">
        <f t="shared" si="1"/>
        <v>0.9914130796423373</v>
      </c>
    </row>
    <row r="40" spans="1:5" ht="15.75">
      <c r="A40" s="62" t="s">
        <v>97</v>
      </c>
      <c r="B40" s="63" t="s">
        <v>29</v>
      </c>
      <c r="C40" s="46">
        <v>8810</v>
      </c>
      <c r="D40" s="356">
        <v>15943.213548</v>
      </c>
      <c r="E40" s="84">
        <f t="shared" si="1"/>
        <v>1.8096723664018162</v>
      </c>
    </row>
    <row r="41" spans="1:5" ht="15.75">
      <c r="A41" s="62" t="s">
        <v>98</v>
      </c>
      <c r="B41" s="63" t="s">
        <v>65</v>
      </c>
      <c r="C41" s="46">
        <f>269604+44701</f>
        <v>314305</v>
      </c>
      <c r="D41" s="356">
        <v>175724.001081</v>
      </c>
      <c r="E41" s="84">
        <f t="shared" si="1"/>
        <v>0.5590875139784603</v>
      </c>
    </row>
    <row r="42" spans="1:5" ht="38.25" customHeight="1">
      <c r="A42" s="62" t="s">
        <v>99</v>
      </c>
      <c r="B42" s="63" t="s">
        <v>84</v>
      </c>
      <c r="C42" s="46">
        <v>420026</v>
      </c>
      <c r="D42" s="356">
        <v>434262.495079</v>
      </c>
      <c r="E42" s="84">
        <f t="shared" si="1"/>
        <v>1.033894318635037</v>
      </c>
    </row>
    <row r="43" spans="1:5" ht="15.75">
      <c r="A43" s="62" t="s">
        <v>100</v>
      </c>
      <c r="B43" s="63" t="s">
        <v>86</v>
      </c>
      <c r="C43" s="46">
        <v>41228</v>
      </c>
      <c r="D43" s="356">
        <v>56186.399062000004</v>
      </c>
      <c r="E43" s="84">
        <f t="shared" si="1"/>
        <v>1.3628213607742312</v>
      </c>
    </row>
    <row r="44" spans="1:5" ht="15.75">
      <c r="A44" s="62" t="s">
        <v>101</v>
      </c>
      <c r="B44" s="63" t="s">
        <v>102</v>
      </c>
      <c r="C44" s="46">
        <v>86300</v>
      </c>
      <c r="D44" s="356">
        <v>7465.322</v>
      </c>
      <c r="E44" s="84">
        <f>D44/C44</f>
        <v>0.08650431054461181</v>
      </c>
    </row>
    <row r="45" spans="1:5" ht="15.75">
      <c r="A45" s="83" t="s">
        <v>120</v>
      </c>
      <c r="B45" s="81" t="s">
        <v>127</v>
      </c>
      <c r="C45" s="90">
        <v>7500</v>
      </c>
      <c r="D45" s="82">
        <v>5599.257</v>
      </c>
      <c r="E45" s="91">
        <f>D45/C45</f>
        <v>0.7465676</v>
      </c>
    </row>
    <row r="46" spans="1:5" ht="15.75">
      <c r="A46" s="83" t="s">
        <v>121</v>
      </c>
      <c r="B46" s="81" t="s">
        <v>156</v>
      </c>
      <c r="C46" s="90">
        <v>1000</v>
      </c>
      <c r="D46" s="82">
        <v>1000</v>
      </c>
      <c r="E46" s="91">
        <f>D46/C46</f>
        <v>1</v>
      </c>
    </row>
    <row r="47" spans="1:5" ht="15.75">
      <c r="A47" s="83" t="s">
        <v>226</v>
      </c>
      <c r="B47" s="81" t="s">
        <v>157</v>
      </c>
      <c r="C47" s="90">
        <v>82587</v>
      </c>
      <c r="D47" s="82"/>
      <c r="E47" s="91"/>
    </row>
    <row r="48" spans="1:5" ht="15.75">
      <c r="A48" s="83" t="s">
        <v>204</v>
      </c>
      <c r="B48" s="81" t="s">
        <v>128</v>
      </c>
      <c r="C48" s="90"/>
      <c r="D48" s="82"/>
      <c r="E48" s="91"/>
    </row>
    <row r="49" spans="1:5" ht="15.75">
      <c r="A49" s="395" t="s">
        <v>122</v>
      </c>
      <c r="B49" s="396" t="s">
        <v>59</v>
      </c>
      <c r="C49" s="397"/>
      <c r="D49" s="398">
        <f>3165071.685743-444301.799364</f>
        <v>2720769.886379</v>
      </c>
      <c r="E49" s="399"/>
    </row>
    <row r="50" spans="1:5" ht="15.75">
      <c r="A50" s="377" t="s">
        <v>124</v>
      </c>
      <c r="B50" s="393" t="s">
        <v>105</v>
      </c>
      <c r="C50" s="400"/>
      <c r="D50" s="357">
        <f>152512.607592+444301.799364</f>
        <v>596814.406956</v>
      </c>
      <c r="E50" s="401"/>
    </row>
  </sheetData>
  <sheetProtection/>
  <mergeCells count="9">
    <mergeCell ref="D6:D7"/>
    <mergeCell ref="C6:C7"/>
    <mergeCell ref="D1:E1"/>
    <mergeCell ref="D5:E5"/>
    <mergeCell ref="A6:A7"/>
    <mergeCell ref="B6:B7"/>
    <mergeCell ref="A2:E2"/>
    <mergeCell ref="E6:E7"/>
    <mergeCell ref="A3:E3"/>
  </mergeCells>
  <printOptions horizontalCentered="1"/>
  <pageMargins left="0" right="0" top="0.53" bottom="0.3937007874015748" header="0.53"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theme="0"/>
  </sheetPr>
  <dimension ref="A1:M57"/>
  <sheetViews>
    <sheetView view="pageBreakPreview" zoomScale="80" zoomScaleNormal="85" zoomScaleSheetLayoutView="80" workbookViewId="0" topLeftCell="A1">
      <selection activeCell="D8" sqref="D8"/>
    </sheetView>
  </sheetViews>
  <sheetFormatPr defaultColWidth="9.140625" defaultRowHeight="15"/>
  <cols>
    <col min="1" max="1" width="7.00390625" style="21" customWidth="1"/>
    <col min="2" max="2" width="56.28125" style="176" customWidth="1"/>
    <col min="3" max="3" width="13.00390625" style="21" customWidth="1"/>
    <col min="4" max="4" width="11.8515625" style="21" customWidth="1"/>
    <col min="5" max="5" width="12.8515625" style="21" customWidth="1"/>
    <col min="6" max="6" width="15.140625" style="127" bestFit="1" customWidth="1"/>
    <col min="7" max="7" width="15.28125" style="127" customWidth="1"/>
    <col min="8" max="8" width="14.7109375" style="127" customWidth="1"/>
    <col min="9" max="9" width="13.7109375" style="21" customWidth="1"/>
    <col min="10" max="10" width="13.8515625" style="21" customWidth="1"/>
    <col min="11" max="11" width="13.421875" style="21" customWidth="1"/>
    <col min="12" max="12" width="16.57421875" style="21" bestFit="1" customWidth="1"/>
    <col min="13" max="13" width="19.421875" style="21" customWidth="1"/>
    <col min="14" max="16384" width="9.140625" style="21" customWidth="1"/>
  </cols>
  <sheetData>
    <row r="1" spans="8:11" ht="16.5">
      <c r="H1" s="369"/>
      <c r="I1" s="471" t="s">
        <v>67</v>
      </c>
      <c r="J1" s="471"/>
      <c r="K1" s="471"/>
    </row>
    <row r="2" spans="1:11" ht="16.5">
      <c r="A2" s="472" t="s">
        <v>370</v>
      </c>
      <c r="B2" s="472"/>
      <c r="C2" s="472"/>
      <c r="D2" s="472"/>
      <c r="E2" s="472"/>
      <c r="F2" s="472"/>
      <c r="G2" s="472"/>
      <c r="H2" s="472"/>
      <c r="I2" s="472"/>
      <c r="J2" s="472"/>
      <c r="K2" s="472"/>
    </row>
    <row r="3" spans="1:11" ht="30" customHeight="1">
      <c r="A3" s="459" t="str">
        <f>'52'!A3:E3</f>
        <v>(Kèm theo Nghị quyết số      /NQ-HĐND ngày      tháng  6 năm 2024 của HĐND tỉnh Điện Biên)</v>
      </c>
      <c r="B3" s="459"/>
      <c r="C3" s="459"/>
      <c r="D3" s="459"/>
      <c r="E3" s="459"/>
      <c r="F3" s="459"/>
      <c r="G3" s="459"/>
      <c r="H3" s="459"/>
      <c r="I3" s="459"/>
      <c r="J3" s="459"/>
      <c r="K3" s="459"/>
    </row>
    <row r="4" spans="1:11" ht="18.75">
      <c r="A4" s="194"/>
      <c r="B4" s="304"/>
      <c r="C4" s="194"/>
      <c r="D4" s="194"/>
      <c r="E4" s="194"/>
      <c r="F4" s="370"/>
      <c r="G4" s="370"/>
      <c r="H4" s="370"/>
      <c r="I4" s="194"/>
      <c r="J4" s="194"/>
      <c r="K4" s="194"/>
    </row>
    <row r="5" spans="3:11" ht="20.25" customHeight="1">
      <c r="C5" s="28"/>
      <c r="D5" s="28"/>
      <c r="E5" s="28"/>
      <c r="J5" s="485" t="s">
        <v>117</v>
      </c>
      <c r="K5" s="485"/>
    </row>
    <row r="6" spans="1:11" ht="24.75" customHeight="1">
      <c r="A6" s="473" t="s">
        <v>113</v>
      </c>
      <c r="B6" s="473" t="s">
        <v>114</v>
      </c>
      <c r="C6" s="473" t="s">
        <v>8</v>
      </c>
      <c r="D6" s="484" t="s">
        <v>60</v>
      </c>
      <c r="E6" s="484"/>
      <c r="F6" s="477" t="s">
        <v>37</v>
      </c>
      <c r="G6" s="483" t="s">
        <v>60</v>
      </c>
      <c r="H6" s="483"/>
      <c r="I6" s="468" t="s">
        <v>193</v>
      </c>
      <c r="J6" s="468"/>
      <c r="K6" s="468"/>
    </row>
    <row r="7" spans="1:11" ht="56.25" customHeight="1">
      <c r="A7" s="474"/>
      <c r="B7" s="474"/>
      <c r="C7" s="474"/>
      <c r="D7" s="8" t="s">
        <v>215</v>
      </c>
      <c r="E7" s="8" t="s">
        <v>216</v>
      </c>
      <c r="F7" s="478"/>
      <c r="G7" s="371" t="s">
        <v>215</v>
      </c>
      <c r="H7" s="371" t="s">
        <v>216</v>
      </c>
      <c r="I7" s="8" t="s">
        <v>220</v>
      </c>
      <c r="J7" s="8" t="s">
        <v>221</v>
      </c>
      <c r="K7" s="8" t="s">
        <v>222</v>
      </c>
    </row>
    <row r="8" spans="1:12" ht="15.75">
      <c r="A8" s="20" t="s">
        <v>115</v>
      </c>
      <c r="B8" s="20" t="s">
        <v>116</v>
      </c>
      <c r="C8" s="20">
        <v>1</v>
      </c>
      <c r="D8" s="20">
        <v>2</v>
      </c>
      <c r="E8" s="20">
        <v>3</v>
      </c>
      <c r="F8" s="30">
        <v>4</v>
      </c>
      <c r="G8" s="30">
        <v>5</v>
      </c>
      <c r="H8" s="30">
        <v>6</v>
      </c>
      <c r="I8" s="20" t="s">
        <v>217</v>
      </c>
      <c r="J8" s="20" t="s">
        <v>218</v>
      </c>
      <c r="K8" s="20" t="s">
        <v>219</v>
      </c>
      <c r="L8" s="169"/>
    </row>
    <row r="9" spans="1:13" ht="25.5" customHeight="1">
      <c r="A9" s="9"/>
      <c r="B9" s="16" t="s">
        <v>43</v>
      </c>
      <c r="C9" s="17">
        <f aca="true" t="shared" si="0" ref="C9:H9">SUM(C10,C27,C56,C57)</f>
        <v>10899756</v>
      </c>
      <c r="D9" s="17">
        <f t="shared" si="0"/>
        <v>5384753</v>
      </c>
      <c r="E9" s="17">
        <f t="shared" si="0"/>
        <v>5515003</v>
      </c>
      <c r="F9" s="362">
        <f t="shared" si="0"/>
        <v>14861813.421392001</v>
      </c>
      <c r="G9" s="362">
        <f t="shared" si="0"/>
        <v>7676651.413419001</v>
      </c>
      <c r="H9" s="362">
        <f t="shared" si="0"/>
        <v>7185162.007973</v>
      </c>
      <c r="I9" s="22">
        <f>F9/C9</f>
        <v>1.363499643605967</v>
      </c>
      <c r="J9" s="22">
        <f>G9/D9</f>
        <v>1.4256273989575754</v>
      </c>
      <c r="K9" s="22">
        <f aca="true" t="shared" si="1" ref="I9:K14">H9/E9</f>
        <v>1.3028391839447777</v>
      </c>
      <c r="L9" s="28"/>
      <c r="M9" s="159"/>
    </row>
    <row r="10" spans="1:13" ht="15.75">
      <c r="A10" s="4" t="s">
        <v>115</v>
      </c>
      <c r="B10" s="5" t="s">
        <v>44</v>
      </c>
      <c r="C10" s="10">
        <f aca="true" t="shared" si="2" ref="C10:H10">SUM(C11,C19,C23,C24:C26)</f>
        <v>9573709</v>
      </c>
      <c r="D10" s="10">
        <f t="shared" si="2"/>
        <v>4059606</v>
      </c>
      <c r="E10" s="10">
        <f t="shared" si="2"/>
        <v>5514103</v>
      </c>
      <c r="F10" s="363">
        <f t="shared" si="2"/>
        <v>8682607.613167</v>
      </c>
      <c r="G10" s="363">
        <f t="shared" si="2"/>
        <v>2869251.555633</v>
      </c>
      <c r="H10" s="363">
        <f t="shared" si="2"/>
        <v>5813356.057534</v>
      </c>
      <c r="I10" s="11">
        <f t="shared" si="1"/>
        <v>0.9069220312803532</v>
      </c>
      <c r="J10" s="11">
        <f t="shared" si="1"/>
        <v>0.7067807948931497</v>
      </c>
      <c r="K10" s="11">
        <f t="shared" si="1"/>
        <v>1.0542704874272388</v>
      </c>
      <c r="L10" s="28"/>
      <c r="M10" s="159"/>
    </row>
    <row r="11" spans="1:12" ht="15.75">
      <c r="A11" s="4" t="s">
        <v>123</v>
      </c>
      <c r="B11" s="5" t="s">
        <v>191</v>
      </c>
      <c r="C11" s="10">
        <f aca="true" t="shared" si="3" ref="C11:H11">C12+C18</f>
        <v>1897430</v>
      </c>
      <c r="D11" s="10">
        <f t="shared" si="3"/>
        <v>1583547</v>
      </c>
      <c r="E11" s="10">
        <f t="shared" si="3"/>
        <v>313883</v>
      </c>
      <c r="F11" s="363">
        <f t="shared" si="3"/>
        <v>1056822.558435</v>
      </c>
      <c r="G11" s="363">
        <f t="shared" si="3"/>
        <v>640539.3063040001</v>
      </c>
      <c r="H11" s="363">
        <f t="shared" si="3"/>
        <v>416283.252131</v>
      </c>
      <c r="I11" s="11">
        <f t="shared" si="1"/>
        <v>0.5569757822080393</v>
      </c>
      <c r="J11" s="11">
        <f t="shared" si="1"/>
        <v>0.40449655507793586</v>
      </c>
      <c r="K11" s="11">
        <f t="shared" si="1"/>
        <v>1.3262370122975757</v>
      </c>
      <c r="L11" s="28"/>
    </row>
    <row r="12" spans="1:12" ht="15.75">
      <c r="A12" s="2">
        <v>1</v>
      </c>
      <c r="B12" s="3" t="s">
        <v>266</v>
      </c>
      <c r="C12" s="12">
        <f aca="true" t="shared" si="4" ref="C12:H12">C13+C14+C15+C16</f>
        <v>1897430</v>
      </c>
      <c r="D12" s="12">
        <f t="shared" si="4"/>
        <v>1583547</v>
      </c>
      <c r="E12" s="12">
        <f t="shared" si="4"/>
        <v>313883</v>
      </c>
      <c r="F12" s="65">
        <f t="shared" si="4"/>
        <v>1020653.138435</v>
      </c>
      <c r="G12" s="65">
        <f t="shared" si="4"/>
        <v>604369.886304</v>
      </c>
      <c r="H12" s="65">
        <f t="shared" si="4"/>
        <v>416283.252131</v>
      </c>
      <c r="I12" s="13">
        <f t="shared" si="1"/>
        <v>0.5379134610683924</v>
      </c>
      <c r="J12" s="13">
        <f t="shared" si="1"/>
        <v>0.381655793168122</v>
      </c>
      <c r="K12" s="13">
        <f t="shared" si="1"/>
        <v>1.3262370122975757</v>
      </c>
      <c r="L12" s="28"/>
    </row>
    <row r="13" spans="1:12" ht="15.75">
      <c r="A13" s="2" t="s">
        <v>164</v>
      </c>
      <c r="B13" s="3" t="s">
        <v>348</v>
      </c>
      <c r="C13" s="12">
        <f aca="true" t="shared" si="5" ref="C13:C19">SUM(D13:E13)</f>
        <v>679230</v>
      </c>
      <c r="D13" s="12">
        <v>500347</v>
      </c>
      <c r="E13" s="12">
        <v>178883</v>
      </c>
      <c r="F13" s="65">
        <f aca="true" t="shared" si="6" ref="F13:F19">SUM(G13:H13)</f>
        <v>718905.0491579999</v>
      </c>
      <c r="G13" s="65">
        <v>536479.934912</v>
      </c>
      <c r="H13" s="65">
        <v>182425.114246</v>
      </c>
      <c r="I13" s="13">
        <f>F13/C13</f>
        <v>1.0584118033037409</v>
      </c>
      <c r="J13" s="13">
        <f>G13/D13</f>
        <v>1.0722157520920481</v>
      </c>
      <c r="K13" s="13">
        <f>H13/E13</f>
        <v>1.0198012904859601</v>
      </c>
      <c r="L13" s="28"/>
    </row>
    <row r="14" spans="1:12" ht="15.75">
      <c r="A14" s="2" t="s">
        <v>165</v>
      </c>
      <c r="B14" s="3" t="s">
        <v>13</v>
      </c>
      <c r="C14" s="12">
        <f t="shared" si="5"/>
        <v>1182200</v>
      </c>
      <c r="D14" s="12">
        <v>1047200</v>
      </c>
      <c r="E14" s="12">
        <v>135000</v>
      </c>
      <c r="F14" s="65">
        <f t="shared" si="6"/>
        <v>250843.32372699998</v>
      </c>
      <c r="G14" s="65">
        <f>31072.620714+4106.390067</f>
        <v>35179.010781000004</v>
      </c>
      <c r="H14" s="65">
        <v>215664.312946</v>
      </c>
      <c r="I14" s="13">
        <f t="shared" si="1"/>
        <v>0.21218349156403316</v>
      </c>
      <c r="J14" s="13">
        <f t="shared" si="1"/>
        <v>0.033593402197288014</v>
      </c>
      <c r="K14" s="13">
        <f t="shared" si="1"/>
        <v>1.5975134292296296</v>
      </c>
      <c r="L14" s="28"/>
    </row>
    <row r="15" spans="1:12" ht="15.75">
      <c r="A15" s="2" t="s">
        <v>166</v>
      </c>
      <c r="B15" s="3" t="s">
        <v>14</v>
      </c>
      <c r="C15" s="12">
        <f t="shared" si="5"/>
        <v>36000</v>
      </c>
      <c r="D15" s="12">
        <v>36000</v>
      </c>
      <c r="E15" s="12"/>
      <c r="F15" s="65">
        <f t="shared" si="6"/>
        <v>32726.283419000003</v>
      </c>
      <c r="G15" s="65">
        <v>32710.940611</v>
      </c>
      <c r="H15" s="65">
        <v>15.342808</v>
      </c>
      <c r="I15" s="13">
        <f>F15/C15</f>
        <v>0.9090634283055556</v>
      </c>
      <c r="J15" s="13">
        <f>G15/D15</f>
        <v>0.9086372391944445</v>
      </c>
      <c r="K15" s="13"/>
      <c r="L15" s="28"/>
    </row>
    <row r="16" spans="1:12" ht="15.75">
      <c r="A16" s="2" t="s">
        <v>167</v>
      </c>
      <c r="B16" s="3" t="s">
        <v>15</v>
      </c>
      <c r="C16" s="12"/>
      <c r="D16" s="12"/>
      <c r="E16" s="12"/>
      <c r="F16" s="65">
        <f t="shared" si="6"/>
        <v>18178.482131</v>
      </c>
      <c r="G16" s="65"/>
      <c r="H16" s="65">
        <v>18178.482131</v>
      </c>
      <c r="I16" s="13"/>
      <c r="J16" s="13"/>
      <c r="K16" s="13"/>
      <c r="L16" s="28"/>
    </row>
    <row r="17" spans="1:12" ht="47.25" hidden="1">
      <c r="A17" s="2">
        <v>2</v>
      </c>
      <c r="B17" s="3" t="s">
        <v>265</v>
      </c>
      <c r="C17" s="12">
        <f t="shared" si="5"/>
        <v>0</v>
      </c>
      <c r="D17" s="12"/>
      <c r="E17" s="12"/>
      <c r="F17" s="65"/>
      <c r="G17" s="65"/>
      <c r="H17" s="65"/>
      <c r="I17" s="13" t="e">
        <f>F17/C17</f>
        <v>#DIV/0!</v>
      </c>
      <c r="J17" s="13" t="e">
        <f>G17/D17</f>
        <v>#DIV/0!</v>
      </c>
      <c r="K17" s="13" t="e">
        <f>H17/E17</f>
        <v>#DIV/0!</v>
      </c>
      <c r="L17" s="28"/>
    </row>
    <row r="18" spans="1:12" ht="15.75" customHeight="1">
      <c r="A18" s="2">
        <v>2</v>
      </c>
      <c r="B18" s="63" t="s">
        <v>309</v>
      </c>
      <c r="C18" s="12"/>
      <c r="D18" s="12"/>
      <c r="E18" s="12"/>
      <c r="F18" s="65">
        <f>SUM(G18:H18)</f>
        <v>36169.42</v>
      </c>
      <c r="G18" s="65">
        <v>36169.42</v>
      </c>
      <c r="H18" s="65"/>
      <c r="I18" s="13"/>
      <c r="J18" s="13"/>
      <c r="K18" s="13"/>
      <c r="L18" s="28"/>
    </row>
    <row r="19" spans="1:12" ht="15.75">
      <c r="A19" s="4" t="s">
        <v>119</v>
      </c>
      <c r="B19" s="5" t="s">
        <v>126</v>
      </c>
      <c r="C19" s="10">
        <f t="shared" si="5"/>
        <v>7474909</v>
      </c>
      <c r="D19" s="10">
        <v>2384972</v>
      </c>
      <c r="E19" s="10">
        <v>5089937</v>
      </c>
      <c r="F19" s="363">
        <f t="shared" si="6"/>
        <v>7619185.797731999</v>
      </c>
      <c r="G19" s="363">
        <v>2222112.992329</v>
      </c>
      <c r="H19" s="363">
        <v>5397072.805403</v>
      </c>
      <c r="I19" s="11">
        <f>F19/C19</f>
        <v>1.0193014788182704</v>
      </c>
      <c r="J19" s="11">
        <f>G19/D19</f>
        <v>0.9317144990922326</v>
      </c>
      <c r="K19" s="11">
        <f>H19/E19</f>
        <v>1.0603417695352615</v>
      </c>
      <c r="L19" s="28"/>
    </row>
    <row r="20" spans="1:12" s="29" customFormat="1" ht="15.75">
      <c r="A20" s="18"/>
      <c r="B20" s="6" t="s">
        <v>229</v>
      </c>
      <c r="C20" s="14"/>
      <c r="D20" s="14"/>
      <c r="E20" s="14"/>
      <c r="F20" s="364"/>
      <c r="G20" s="364"/>
      <c r="H20" s="364"/>
      <c r="I20" s="19"/>
      <c r="J20" s="19"/>
      <c r="K20" s="19"/>
      <c r="L20" s="28"/>
    </row>
    <row r="21" spans="1:12" s="29" customFormat="1" ht="15.75">
      <c r="A21" s="18">
        <v>1</v>
      </c>
      <c r="B21" s="6" t="s">
        <v>202</v>
      </c>
      <c r="C21" s="14">
        <f>SUM(D21:E21)</f>
        <v>3598344</v>
      </c>
      <c r="D21" s="14">
        <v>582842</v>
      </c>
      <c r="E21" s="14">
        <v>3015502</v>
      </c>
      <c r="F21" s="364">
        <f>SUM(G21:H21)</f>
        <v>3726653.045732</v>
      </c>
      <c r="G21" s="364">
        <v>554396.30852</v>
      </c>
      <c r="H21" s="364">
        <v>3172256.737212</v>
      </c>
      <c r="I21" s="19">
        <f aca="true" t="shared" si="7" ref="I21:K22">F21/C21</f>
        <v>1.035657804182146</v>
      </c>
      <c r="J21" s="19">
        <f t="shared" si="7"/>
        <v>0.9511948495818763</v>
      </c>
      <c r="K21" s="19">
        <f t="shared" si="7"/>
        <v>1.051982965758935</v>
      </c>
      <c r="L21" s="28"/>
    </row>
    <row r="22" spans="1:12" s="29" customFormat="1" ht="15.75">
      <c r="A22" s="18">
        <v>2</v>
      </c>
      <c r="B22" s="6" t="s">
        <v>203</v>
      </c>
      <c r="C22" s="14">
        <f>SUM(D22:E22)</f>
        <v>18481</v>
      </c>
      <c r="D22" s="14">
        <v>14903</v>
      </c>
      <c r="E22" s="14">
        <v>3578</v>
      </c>
      <c r="F22" s="364">
        <f>SUM(G22:H22)</f>
        <v>13211.607522</v>
      </c>
      <c r="G22" s="364">
        <v>9486.711501</v>
      </c>
      <c r="H22" s="364">
        <v>3724.896021</v>
      </c>
      <c r="I22" s="19">
        <f t="shared" si="7"/>
        <v>0.7148751432281804</v>
      </c>
      <c r="J22" s="19">
        <f t="shared" si="7"/>
        <v>0.6365638798228545</v>
      </c>
      <c r="K22" s="19">
        <f t="shared" si="7"/>
        <v>1.0410553440469537</v>
      </c>
      <c r="L22" s="28"/>
    </row>
    <row r="23" spans="1:12" ht="15.75">
      <c r="A23" s="4" t="s">
        <v>120</v>
      </c>
      <c r="B23" s="5" t="s">
        <v>127</v>
      </c>
      <c r="C23" s="10">
        <f>SUM(D23:E23)</f>
        <v>7500</v>
      </c>
      <c r="D23" s="10">
        <v>7500</v>
      </c>
      <c r="E23" s="10"/>
      <c r="F23" s="365">
        <f>SUM(G23:H23)</f>
        <v>5599.257</v>
      </c>
      <c r="G23" s="365">
        <v>5599.257</v>
      </c>
      <c r="H23" s="365"/>
      <c r="I23" s="11">
        <f>F23/C23</f>
        <v>0.7465676</v>
      </c>
      <c r="J23" s="11">
        <f>G23/D23</f>
        <v>0.7465676</v>
      </c>
      <c r="K23" s="11"/>
      <c r="L23" s="28"/>
    </row>
    <row r="24" spans="1:12" ht="15.75">
      <c r="A24" s="4" t="s">
        <v>121</v>
      </c>
      <c r="B24" s="5" t="s">
        <v>156</v>
      </c>
      <c r="C24" s="10">
        <v>1000</v>
      </c>
      <c r="D24" s="10">
        <v>1000</v>
      </c>
      <c r="E24" s="10"/>
      <c r="F24" s="365">
        <v>1000</v>
      </c>
      <c r="G24" s="365">
        <v>1000</v>
      </c>
      <c r="H24" s="365"/>
      <c r="I24" s="11">
        <f>F24/C24</f>
        <v>1</v>
      </c>
      <c r="J24" s="11">
        <f>G24/D24</f>
        <v>1</v>
      </c>
      <c r="K24" s="11"/>
      <c r="L24" s="28"/>
    </row>
    <row r="25" spans="1:12" ht="15.75">
      <c r="A25" s="4" t="s">
        <v>226</v>
      </c>
      <c r="B25" s="5" t="s">
        <v>157</v>
      </c>
      <c r="C25" s="10">
        <f>SUM(D25:E25)</f>
        <v>192870</v>
      </c>
      <c r="D25" s="10">
        <v>82587</v>
      </c>
      <c r="E25" s="10">
        <v>110283</v>
      </c>
      <c r="F25" s="65"/>
      <c r="G25" s="65"/>
      <c r="H25" s="65"/>
      <c r="I25" s="13"/>
      <c r="J25" s="13"/>
      <c r="K25" s="13"/>
      <c r="L25" s="28"/>
    </row>
    <row r="26" spans="1:12" ht="15.75">
      <c r="A26" s="4" t="s">
        <v>204</v>
      </c>
      <c r="B26" s="5" t="s">
        <v>128</v>
      </c>
      <c r="C26" s="10"/>
      <c r="D26" s="10"/>
      <c r="E26" s="10"/>
      <c r="F26" s="65"/>
      <c r="G26" s="65"/>
      <c r="H26" s="65"/>
      <c r="I26" s="13"/>
      <c r="J26" s="13"/>
      <c r="K26" s="13"/>
      <c r="L26" s="28"/>
    </row>
    <row r="27" spans="1:12" ht="15.75" customHeight="1">
      <c r="A27" s="4" t="s">
        <v>116</v>
      </c>
      <c r="B27" s="5" t="s">
        <v>205</v>
      </c>
      <c r="C27" s="10">
        <f aca="true" t="shared" si="8" ref="C27:H27">SUM(C28,C38)</f>
        <v>1326047</v>
      </c>
      <c r="D27" s="10">
        <f t="shared" si="8"/>
        <v>1325147</v>
      </c>
      <c r="E27" s="10">
        <f t="shared" si="8"/>
        <v>900</v>
      </c>
      <c r="F27" s="363">
        <f t="shared" si="8"/>
        <v>1751534.3782100002</v>
      </c>
      <c r="G27" s="363">
        <f t="shared" si="8"/>
        <v>1489815.5644510002</v>
      </c>
      <c r="H27" s="363">
        <f t="shared" si="8"/>
        <v>261718.81375900004</v>
      </c>
      <c r="I27" s="11"/>
      <c r="J27" s="11"/>
      <c r="K27" s="11"/>
      <c r="L27" s="28"/>
    </row>
    <row r="28" spans="1:12" ht="15.75">
      <c r="A28" s="4" t="s">
        <v>123</v>
      </c>
      <c r="B28" s="5" t="s">
        <v>159</v>
      </c>
      <c r="C28" s="10"/>
      <c r="D28" s="10"/>
      <c r="E28" s="10"/>
      <c r="F28" s="363">
        <f>F32+F35+F29</f>
        <v>459449.06017</v>
      </c>
      <c r="G28" s="363">
        <f>G32+G35+G29</f>
        <v>210265.71348699997</v>
      </c>
      <c r="H28" s="363">
        <f>H32+H35+H29</f>
        <v>249183.34668300004</v>
      </c>
      <c r="I28" s="11"/>
      <c r="J28" s="11"/>
      <c r="K28" s="11"/>
      <c r="L28" s="28"/>
    </row>
    <row r="29" spans="1:12" ht="31.5">
      <c r="A29" s="4">
        <v>1</v>
      </c>
      <c r="B29" s="222" t="s">
        <v>354</v>
      </c>
      <c r="C29" s="10"/>
      <c r="D29" s="10"/>
      <c r="E29" s="10"/>
      <c r="F29" s="363">
        <f>SUM(F30:F31)</f>
        <v>161856.357539</v>
      </c>
      <c r="G29" s="363">
        <f>SUM(G30:G31)</f>
        <v>124547.188017</v>
      </c>
      <c r="H29" s="363">
        <f>SUM(H30:H31)</f>
        <v>37309.169522</v>
      </c>
      <c r="I29" s="11"/>
      <c r="J29" s="11"/>
      <c r="K29" s="11"/>
      <c r="L29" s="28"/>
    </row>
    <row r="30" spans="1:12" ht="15.75">
      <c r="A30" s="25"/>
      <c r="B30" s="1" t="s">
        <v>169</v>
      </c>
      <c r="C30" s="12"/>
      <c r="D30" s="12"/>
      <c r="E30" s="12"/>
      <c r="F30" s="65">
        <f>SUM(G30:H30)</f>
        <v>116115.302678</v>
      </c>
      <c r="G30" s="65">
        <v>109745.325178</v>
      </c>
      <c r="H30" s="65">
        <v>6369.9775</v>
      </c>
      <c r="I30" s="13"/>
      <c r="J30" s="13"/>
      <c r="K30" s="13"/>
      <c r="L30" s="28"/>
    </row>
    <row r="31" spans="1:12" ht="15.75">
      <c r="A31" s="25"/>
      <c r="B31" s="1" t="s">
        <v>170</v>
      </c>
      <c r="C31" s="12"/>
      <c r="D31" s="12"/>
      <c r="E31" s="12"/>
      <c r="F31" s="65">
        <f>SUM(G31:H31)</f>
        <v>45741.054861</v>
      </c>
      <c r="G31" s="65">
        <v>14801.862839</v>
      </c>
      <c r="H31" s="65">
        <v>30939.192022</v>
      </c>
      <c r="I31" s="13"/>
      <c r="J31" s="13"/>
      <c r="K31" s="13"/>
      <c r="L31" s="28"/>
    </row>
    <row r="32" spans="1:12" ht="15.75">
      <c r="A32" s="223">
        <v>2</v>
      </c>
      <c r="B32" s="222" t="s">
        <v>355</v>
      </c>
      <c r="C32" s="10"/>
      <c r="D32" s="10"/>
      <c r="E32" s="10"/>
      <c r="F32" s="363">
        <f>SUM(F33:F34)</f>
        <v>189010.568464</v>
      </c>
      <c r="G32" s="363">
        <f>SUM(G33:G34)</f>
        <v>81332.797471</v>
      </c>
      <c r="H32" s="363">
        <f>SUM(H33:H34)</f>
        <v>107677.77099300001</v>
      </c>
      <c r="I32" s="11"/>
      <c r="J32" s="11"/>
      <c r="K32" s="11"/>
      <c r="L32" s="28"/>
    </row>
    <row r="33" spans="1:12" ht="15.75">
      <c r="A33" s="25"/>
      <c r="B33" s="1" t="s">
        <v>169</v>
      </c>
      <c r="C33" s="12"/>
      <c r="D33" s="12"/>
      <c r="E33" s="12"/>
      <c r="F33" s="65">
        <f>SUM(G33:H33)</f>
        <v>150810.884862</v>
      </c>
      <c r="G33" s="65">
        <v>78614.425906</v>
      </c>
      <c r="H33" s="65">
        <f>66518.909956+5677.549</f>
        <v>72196.458956</v>
      </c>
      <c r="I33" s="13"/>
      <c r="J33" s="13"/>
      <c r="K33" s="13"/>
      <c r="L33" s="28"/>
    </row>
    <row r="34" spans="1:12" ht="15.75">
      <c r="A34" s="25"/>
      <c r="B34" s="1" t="s">
        <v>170</v>
      </c>
      <c r="C34" s="12"/>
      <c r="D34" s="12"/>
      <c r="E34" s="12"/>
      <c r="F34" s="65">
        <f>SUM(G34:H34)</f>
        <v>38199.683602000005</v>
      </c>
      <c r="G34" s="65">
        <v>2718.371565</v>
      </c>
      <c r="H34" s="65">
        <v>35481.312037</v>
      </c>
      <c r="I34" s="13"/>
      <c r="J34" s="13"/>
      <c r="K34" s="13"/>
      <c r="L34" s="28"/>
    </row>
    <row r="35" spans="1:12" ht="22.5" customHeight="1">
      <c r="A35" s="223">
        <v>3</v>
      </c>
      <c r="B35" s="10" t="s">
        <v>171</v>
      </c>
      <c r="C35" s="10"/>
      <c r="D35" s="10"/>
      <c r="E35" s="10"/>
      <c r="F35" s="363">
        <f>SUM(F36,F37)</f>
        <v>108582.13416700001</v>
      </c>
      <c r="G35" s="363">
        <f>SUM(G36,G37)</f>
        <v>4385.727999</v>
      </c>
      <c r="H35" s="363">
        <f>SUM(H36,H37)</f>
        <v>104196.40616800002</v>
      </c>
      <c r="I35" s="11"/>
      <c r="J35" s="11"/>
      <c r="K35" s="11"/>
      <c r="L35" s="28"/>
    </row>
    <row r="36" spans="1:12" ht="15.75">
      <c r="A36" s="25"/>
      <c r="B36" s="118" t="s">
        <v>172</v>
      </c>
      <c r="C36" s="12"/>
      <c r="D36" s="12"/>
      <c r="E36" s="12"/>
      <c r="F36" s="65">
        <f>SUM(G36:H36)</f>
        <v>103259.78542000001</v>
      </c>
      <c r="G36" s="65">
        <v>1462.073</v>
      </c>
      <c r="H36" s="65">
        <f>101085.83942+711.873</f>
        <v>101797.71242000001</v>
      </c>
      <c r="I36" s="13"/>
      <c r="J36" s="13"/>
      <c r="K36" s="13"/>
      <c r="L36" s="28"/>
    </row>
    <row r="37" spans="1:12" ht="15.75">
      <c r="A37" s="25"/>
      <c r="B37" s="118" t="s">
        <v>173</v>
      </c>
      <c r="C37" s="12"/>
      <c r="D37" s="12"/>
      <c r="E37" s="12"/>
      <c r="F37" s="65">
        <f>SUM(G37:H37)</f>
        <v>5322.348747</v>
      </c>
      <c r="G37" s="65">
        <v>2923.654999</v>
      </c>
      <c r="H37" s="65">
        <v>2398.693748</v>
      </c>
      <c r="I37" s="13"/>
      <c r="J37" s="13"/>
      <c r="K37" s="13"/>
      <c r="L37" s="28"/>
    </row>
    <row r="38" spans="1:12" ht="15.75">
      <c r="A38" s="83" t="s">
        <v>119</v>
      </c>
      <c r="B38" s="81" t="s">
        <v>62</v>
      </c>
      <c r="C38" s="10">
        <f aca="true" t="shared" si="9" ref="C38:H38">SUM(C39,C43)</f>
        <v>1326047</v>
      </c>
      <c r="D38" s="116">
        <f t="shared" si="9"/>
        <v>1325147</v>
      </c>
      <c r="E38" s="10">
        <f t="shared" si="9"/>
        <v>900</v>
      </c>
      <c r="F38" s="363">
        <f t="shared" si="9"/>
        <v>1292085.3180400003</v>
      </c>
      <c r="G38" s="363">
        <f t="shared" si="9"/>
        <v>1279549.8509640002</v>
      </c>
      <c r="H38" s="363">
        <f t="shared" si="9"/>
        <v>12535.467076</v>
      </c>
      <c r="I38" s="11">
        <f>F38/C38</f>
        <v>0.9743887796133925</v>
      </c>
      <c r="J38" s="11">
        <f>G38/D38</f>
        <v>0.9655908747965322</v>
      </c>
      <c r="K38" s="11">
        <f>H38/E38</f>
        <v>13.928296751111112</v>
      </c>
      <c r="L38" s="28"/>
    </row>
    <row r="39" spans="1:12" ht="15.75">
      <c r="A39" s="225">
        <v>1</v>
      </c>
      <c r="B39" s="116" t="s">
        <v>61</v>
      </c>
      <c r="C39" s="10">
        <f aca="true" t="shared" si="10" ref="C39:H39">SUM(C40:C42)</f>
        <v>1256896</v>
      </c>
      <c r="D39" s="116">
        <f>SUM(D40:D42)</f>
        <v>1256896</v>
      </c>
      <c r="E39" s="10">
        <f t="shared" si="10"/>
        <v>0</v>
      </c>
      <c r="F39" s="363">
        <f>SUM(F40:F42)</f>
        <v>1185948.7807900002</v>
      </c>
      <c r="G39" s="363">
        <f t="shared" si="10"/>
        <v>1182394.4268140001</v>
      </c>
      <c r="H39" s="363">
        <f t="shared" si="10"/>
        <v>3554.353976</v>
      </c>
      <c r="I39" s="11">
        <f aca="true" t="shared" si="11" ref="I39:J41">F39/C39</f>
        <v>0.9435536279771757</v>
      </c>
      <c r="J39" s="11">
        <f t="shared" si="11"/>
        <v>0.9407257456575565</v>
      </c>
      <c r="K39" s="11"/>
      <c r="L39" s="28"/>
    </row>
    <row r="40" spans="1:12" ht="15.75">
      <c r="A40" s="161"/>
      <c r="B40" s="118" t="s">
        <v>356</v>
      </c>
      <c r="C40" s="12">
        <f>SUM(D40:E40)</f>
        <v>84520</v>
      </c>
      <c r="D40" s="118">
        <v>84520</v>
      </c>
      <c r="E40" s="12"/>
      <c r="F40" s="65">
        <f>SUM(G40:H40)</f>
        <v>86323.193226</v>
      </c>
      <c r="G40" s="65">
        <v>86323.193226</v>
      </c>
      <c r="H40" s="65"/>
      <c r="I40" s="13">
        <f t="shared" si="11"/>
        <v>1.0213345152153337</v>
      </c>
      <c r="J40" s="13">
        <f t="shared" si="11"/>
        <v>1.0213345152153337</v>
      </c>
      <c r="K40" s="13"/>
      <c r="L40" s="28"/>
    </row>
    <row r="41" spans="1:12" ht="15.75">
      <c r="A41" s="161"/>
      <c r="B41" s="118" t="s">
        <v>357</v>
      </c>
      <c r="C41" s="12">
        <f>SUM(D41:E41)</f>
        <v>1172376</v>
      </c>
      <c r="D41" s="118">
        <v>1172376</v>
      </c>
      <c r="E41" s="12"/>
      <c r="F41" s="65">
        <f>SUM(G41:H41)</f>
        <v>1098496.9659030002</v>
      </c>
      <c r="G41" s="65">
        <v>1094942.611927</v>
      </c>
      <c r="H41" s="65">
        <v>3554.353976</v>
      </c>
      <c r="I41" s="13">
        <f t="shared" si="11"/>
        <v>0.9369834983853305</v>
      </c>
      <c r="J41" s="13">
        <f t="shared" si="11"/>
        <v>0.9339517457940115</v>
      </c>
      <c r="K41" s="13"/>
      <c r="L41" s="28"/>
    </row>
    <row r="42" spans="1:12" ht="15.75">
      <c r="A42" s="161"/>
      <c r="B42" s="118" t="s">
        <v>358</v>
      </c>
      <c r="C42" s="12"/>
      <c r="D42" s="118"/>
      <c r="E42" s="12"/>
      <c r="F42" s="65">
        <f>SUM(G42:H42)</f>
        <v>1128.621661</v>
      </c>
      <c r="G42" s="65">
        <v>1128.621661</v>
      </c>
      <c r="H42" s="65"/>
      <c r="I42" s="13"/>
      <c r="J42" s="13"/>
      <c r="K42" s="13"/>
      <c r="L42" s="28"/>
    </row>
    <row r="43" spans="1:12" ht="27.75" customHeight="1">
      <c r="A43" s="115">
        <v>2</v>
      </c>
      <c r="B43" s="116" t="s">
        <v>83</v>
      </c>
      <c r="C43" s="10">
        <f aca="true" t="shared" si="12" ref="C43:H43">SUM(C44:C55)</f>
        <v>69151</v>
      </c>
      <c r="D43" s="116">
        <f t="shared" si="12"/>
        <v>68251</v>
      </c>
      <c r="E43" s="10">
        <f t="shared" si="12"/>
        <v>900</v>
      </c>
      <c r="F43" s="363">
        <f t="shared" si="12"/>
        <v>106136.53725</v>
      </c>
      <c r="G43" s="363">
        <f t="shared" si="12"/>
        <v>97155.42414999999</v>
      </c>
      <c r="H43" s="363">
        <f t="shared" si="12"/>
        <v>8981.1131</v>
      </c>
      <c r="I43" s="11">
        <f>F43/C43</f>
        <v>1.5348518061922458</v>
      </c>
      <c r="J43" s="11">
        <f>G43/D43</f>
        <v>1.4235018409986666</v>
      </c>
      <c r="K43" s="11">
        <f>H43/E43</f>
        <v>9.979014555555556</v>
      </c>
      <c r="L43" s="28"/>
    </row>
    <row r="44" spans="1:12" ht="31.5">
      <c r="A44" s="161"/>
      <c r="B44" s="166" t="s">
        <v>359</v>
      </c>
      <c r="C44" s="12">
        <f aca="true" t="shared" si="13" ref="C44:C49">SUM(D44:E44)</f>
        <v>3200</v>
      </c>
      <c r="D44" s="118">
        <v>3200</v>
      </c>
      <c r="E44" s="12"/>
      <c r="F44" s="65">
        <f>SUM(G44:H44)</f>
        <v>0</v>
      </c>
      <c r="G44" s="65"/>
      <c r="H44" s="65"/>
      <c r="I44" s="13">
        <f aca="true" t="shared" si="14" ref="I44:J49">F44/C44</f>
        <v>0</v>
      </c>
      <c r="J44" s="13">
        <f t="shared" si="14"/>
        <v>0</v>
      </c>
      <c r="K44" s="13"/>
      <c r="L44" s="28"/>
    </row>
    <row r="45" spans="1:12" ht="31.5">
      <c r="A45" s="161"/>
      <c r="B45" s="166" t="s">
        <v>360</v>
      </c>
      <c r="C45" s="12">
        <f t="shared" si="13"/>
        <v>2000</v>
      </c>
      <c r="D45" s="165">
        <v>2000</v>
      </c>
      <c r="E45" s="12"/>
      <c r="F45" s="65">
        <f aca="true" t="shared" si="15" ref="F45:F55">SUM(G45:H45)</f>
        <v>0</v>
      </c>
      <c r="G45" s="65"/>
      <c r="H45" s="65"/>
      <c r="I45" s="13">
        <f t="shared" si="14"/>
        <v>0</v>
      </c>
      <c r="J45" s="13">
        <f t="shared" si="14"/>
        <v>0</v>
      </c>
      <c r="K45" s="13"/>
      <c r="L45" s="28"/>
    </row>
    <row r="46" spans="1:12" ht="15.75">
      <c r="A46" s="122"/>
      <c r="B46" s="166" t="s">
        <v>361</v>
      </c>
      <c r="C46" s="12">
        <f t="shared" si="13"/>
        <v>10000</v>
      </c>
      <c r="D46" s="118">
        <v>10000</v>
      </c>
      <c r="E46" s="12"/>
      <c r="F46" s="65">
        <f t="shared" si="15"/>
        <v>13295.8875</v>
      </c>
      <c r="G46" s="65">
        <v>13295.8875</v>
      </c>
      <c r="H46" s="65"/>
      <c r="I46" s="13">
        <f t="shared" si="14"/>
        <v>1.32958875</v>
      </c>
      <c r="J46" s="13">
        <f t="shared" si="14"/>
        <v>1.32958875</v>
      </c>
      <c r="K46" s="13"/>
      <c r="L46" s="28"/>
    </row>
    <row r="47" spans="1:12" ht="47.25">
      <c r="A47" s="161"/>
      <c r="B47" s="63" t="s">
        <v>364</v>
      </c>
      <c r="C47" s="12">
        <f t="shared" si="13"/>
        <v>250</v>
      </c>
      <c r="D47" s="165">
        <v>250</v>
      </c>
      <c r="E47" s="12"/>
      <c r="F47" s="65">
        <f t="shared" si="15"/>
        <v>250</v>
      </c>
      <c r="G47" s="65">
        <v>250</v>
      </c>
      <c r="H47" s="65"/>
      <c r="I47" s="13">
        <f t="shared" si="14"/>
        <v>1</v>
      </c>
      <c r="J47" s="13">
        <f t="shared" si="14"/>
        <v>1</v>
      </c>
      <c r="K47" s="13"/>
      <c r="L47" s="28"/>
    </row>
    <row r="48" spans="1:12" ht="31.5">
      <c r="A48" s="161"/>
      <c r="B48" s="164" t="s">
        <v>362</v>
      </c>
      <c r="C48" s="12">
        <f t="shared" si="13"/>
        <v>9000</v>
      </c>
      <c r="D48" s="165">
        <v>8100</v>
      </c>
      <c r="E48" s="12">
        <v>900</v>
      </c>
      <c r="F48" s="65">
        <f t="shared" si="15"/>
        <v>9000</v>
      </c>
      <c r="G48" s="65">
        <v>8100</v>
      </c>
      <c r="H48" s="65">
        <v>900</v>
      </c>
      <c r="I48" s="13">
        <f t="shared" si="14"/>
        <v>1</v>
      </c>
      <c r="J48" s="13">
        <f t="shared" si="14"/>
        <v>1</v>
      </c>
      <c r="K48" s="13">
        <f>H48/E48</f>
        <v>1</v>
      </c>
      <c r="L48" s="28"/>
    </row>
    <row r="49" spans="1:12" ht="15.75">
      <c r="A49" s="161"/>
      <c r="B49" s="164" t="s">
        <v>363</v>
      </c>
      <c r="C49" s="12">
        <f t="shared" si="13"/>
        <v>44701</v>
      </c>
      <c r="D49" s="165">
        <v>44701</v>
      </c>
      <c r="E49" s="12"/>
      <c r="F49" s="65">
        <f t="shared" si="15"/>
        <v>44701</v>
      </c>
      <c r="G49" s="65">
        <v>44701</v>
      </c>
      <c r="H49" s="65"/>
      <c r="I49" s="13">
        <f t="shared" si="14"/>
        <v>1</v>
      </c>
      <c r="J49" s="13">
        <f t="shared" si="14"/>
        <v>1</v>
      </c>
      <c r="K49" s="13"/>
      <c r="L49" s="28"/>
    </row>
    <row r="50" spans="1:12" ht="31.5">
      <c r="A50" s="161"/>
      <c r="B50" s="166" t="s">
        <v>365</v>
      </c>
      <c r="C50" s="12"/>
      <c r="D50" s="118"/>
      <c r="E50" s="12"/>
      <c r="F50" s="65">
        <f t="shared" si="15"/>
        <v>301</v>
      </c>
      <c r="G50" s="65">
        <v>301</v>
      </c>
      <c r="H50" s="65"/>
      <c r="I50" s="13"/>
      <c r="J50" s="13"/>
      <c r="K50" s="13"/>
      <c r="L50" s="28"/>
    </row>
    <row r="51" spans="1:12" ht="31.5">
      <c r="A51" s="161"/>
      <c r="B51" s="166" t="s">
        <v>366</v>
      </c>
      <c r="C51" s="12"/>
      <c r="D51" s="118"/>
      <c r="E51" s="12"/>
      <c r="F51" s="65">
        <f t="shared" si="15"/>
        <v>12901.76</v>
      </c>
      <c r="G51" s="65">
        <v>12901.76</v>
      </c>
      <c r="H51" s="65"/>
      <c r="I51" s="13"/>
      <c r="J51" s="13"/>
      <c r="K51" s="13"/>
      <c r="L51" s="28"/>
    </row>
    <row r="52" spans="1:12" ht="15.75">
      <c r="A52" s="122"/>
      <c r="B52" s="118" t="s">
        <v>1</v>
      </c>
      <c r="C52" s="12"/>
      <c r="D52" s="118"/>
      <c r="E52" s="12"/>
      <c r="F52" s="65">
        <f t="shared" si="15"/>
        <v>4893.98045</v>
      </c>
      <c r="G52" s="65">
        <v>521.48005</v>
      </c>
      <c r="H52" s="65">
        <v>4372.5004</v>
      </c>
      <c r="I52" s="13"/>
      <c r="J52" s="13"/>
      <c r="K52" s="13"/>
      <c r="L52" s="28"/>
    </row>
    <row r="53" spans="1:12" ht="15.75">
      <c r="A53" s="122"/>
      <c r="B53" s="118" t="s">
        <v>367</v>
      </c>
      <c r="C53" s="12"/>
      <c r="D53" s="118"/>
      <c r="E53" s="12"/>
      <c r="F53" s="65">
        <f t="shared" si="15"/>
        <v>16983.529867</v>
      </c>
      <c r="G53" s="65">
        <v>16983.529867</v>
      </c>
      <c r="H53" s="65"/>
      <c r="I53" s="13"/>
      <c r="J53" s="13"/>
      <c r="K53" s="13"/>
      <c r="L53" s="28"/>
    </row>
    <row r="54" spans="1:12" ht="31.5">
      <c r="A54" s="161"/>
      <c r="B54" s="166" t="s">
        <v>368</v>
      </c>
      <c r="C54" s="12"/>
      <c r="D54" s="118"/>
      <c r="E54" s="12"/>
      <c r="F54" s="65">
        <f t="shared" si="15"/>
        <v>36.586</v>
      </c>
      <c r="G54" s="65">
        <v>36.586</v>
      </c>
      <c r="H54" s="65"/>
      <c r="I54" s="13"/>
      <c r="J54" s="13"/>
      <c r="K54" s="13"/>
      <c r="L54" s="28"/>
    </row>
    <row r="55" spans="1:12" ht="31.5">
      <c r="A55" s="161"/>
      <c r="B55" s="166" t="s">
        <v>2</v>
      </c>
      <c r="C55" s="12"/>
      <c r="D55" s="118"/>
      <c r="E55" s="12"/>
      <c r="F55" s="65">
        <f t="shared" si="15"/>
        <v>3772.7934330000003</v>
      </c>
      <c r="G55" s="65">
        <v>64.180733</v>
      </c>
      <c r="H55" s="65">
        <v>3708.6127</v>
      </c>
      <c r="I55" s="13"/>
      <c r="J55" s="13"/>
      <c r="K55" s="13"/>
      <c r="L55" s="28"/>
    </row>
    <row r="56" spans="1:12" s="126" customFormat="1" ht="23.25" customHeight="1">
      <c r="A56" s="83" t="s">
        <v>122</v>
      </c>
      <c r="B56" s="81" t="s">
        <v>59</v>
      </c>
      <c r="C56" s="165"/>
      <c r="D56" s="165"/>
      <c r="E56" s="165"/>
      <c r="F56" s="365">
        <f>SUM(G56:H56)</f>
        <v>3718085.764111</v>
      </c>
      <c r="G56" s="402">
        <f>3165071.685743-444301.799364</f>
        <v>2720769.886379</v>
      </c>
      <c r="H56" s="402">
        <f>1003888.456509-6572.578777</f>
        <v>997315.8777320001</v>
      </c>
      <c r="I56" s="167"/>
      <c r="J56" s="167"/>
      <c r="K56" s="167"/>
      <c r="L56" s="403"/>
    </row>
    <row r="57" spans="1:12" s="126" customFormat="1" ht="24" customHeight="1">
      <c r="A57" s="377" t="s">
        <v>124</v>
      </c>
      <c r="B57" s="393" t="s">
        <v>105</v>
      </c>
      <c r="C57" s="394"/>
      <c r="D57" s="394"/>
      <c r="E57" s="394"/>
      <c r="F57" s="404">
        <f>SUM(G57:H57)</f>
        <v>709585.665904</v>
      </c>
      <c r="G57" s="405">
        <f>152512.607592+444301.799364</f>
        <v>596814.406956</v>
      </c>
      <c r="H57" s="405">
        <v>112771.258948</v>
      </c>
      <c r="I57" s="406"/>
      <c r="J57" s="406"/>
      <c r="K57" s="406"/>
      <c r="L57" s="403"/>
    </row>
  </sheetData>
  <sheetProtection/>
  <mergeCells count="11">
    <mergeCell ref="J5:K5"/>
    <mergeCell ref="A2:K2"/>
    <mergeCell ref="I1:K1"/>
    <mergeCell ref="F6:F7"/>
    <mergeCell ref="G6:H6"/>
    <mergeCell ref="I6:K6"/>
    <mergeCell ref="A3:K3"/>
    <mergeCell ref="A6:A7"/>
    <mergeCell ref="B6:B7"/>
    <mergeCell ref="C6:C7"/>
    <mergeCell ref="D6:E6"/>
  </mergeCells>
  <printOptions horizontalCentered="1"/>
  <pageMargins left="0" right="0" top="0.47" bottom="0.37" header="0.47" footer="0.35433070866141736"/>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tabColor theme="0"/>
  </sheetPr>
  <dimension ref="A1:CF84"/>
  <sheetViews>
    <sheetView view="pageBreakPreview" zoomScaleSheetLayoutView="100" zoomScalePageLayoutView="0" workbookViewId="0" topLeftCell="A1">
      <selection activeCell="D9" sqref="D9"/>
    </sheetView>
  </sheetViews>
  <sheetFormatPr defaultColWidth="9.140625" defaultRowHeight="15"/>
  <cols>
    <col min="1" max="1" width="4.421875" style="178" customWidth="1"/>
    <col min="2" max="2" width="37.7109375" style="179" customWidth="1"/>
    <col min="3" max="3" width="8.421875" style="178" customWidth="1"/>
    <col min="4" max="4" width="8.28125" style="178" customWidth="1"/>
    <col min="5" max="5" width="7.7109375" style="178" customWidth="1"/>
    <col min="6" max="6" width="7.28125" style="178" customWidth="1"/>
    <col min="7" max="7" width="6.28125" style="178" customWidth="1"/>
    <col min="8" max="8" width="7.7109375" style="178" customWidth="1"/>
    <col min="9" max="9" width="10.57421875" style="199" customWidth="1"/>
    <col min="10" max="11" width="9.8515625" style="199" customWidth="1"/>
    <col min="12" max="13" width="7.140625" style="199" customWidth="1"/>
    <col min="14" max="14" width="8.8515625" style="199" customWidth="1"/>
    <col min="15" max="15" width="8.57421875" style="199" customWidth="1"/>
    <col min="16" max="16" width="7.7109375" style="199" customWidth="1"/>
    <col min="17" max="17" width="10.00390625" style="199" customWidth="1"/>
    <col min="18" max="18" width="10.421875" style="199" customWidth="1"/>
    <col min="19" max="19" width="6.8515625" style="237" customWidth="1"/>
    <col min="20" max="23" width="7.00390625" style="237" customWidth="1"/>
    <col min="24" max="24" width="7.00390625" style="180" customWidth="1"/>
    <col min="25" max="25" width="11.57421875" style="185" hidden="1" customWidth="1"/>
    <col min="26" max="26" width="11.00390625" style="238" bestFit="1" customWidth="1"/>
    <col min="27" max="84" width="9.140625" style="238" customWidth="1"/>
    <col min="85" max="16384" width="9.140625" style="186" customWidth="1"/>
  </cols>
  <sheetData>
    <row r="1" spans="1:84" s="192" customFormat="1" ht="16.5">
      <c r="A1" s="200"/>
      <c r="B1" s="244"/>
      <c r="C1" s="200"/>
      <c r="D1" s="200"/>
      <c r="E1" s="200"/>
      <c r="F1" s="200"/>
      <c r="G1" s="200"/>
      <c r="H1" s="300"/>
      <c r="I1" s="196"/>
      <c r="J1" s="196"/>
      <c r="K1" s="196"/>
      <c r="L1" s="196"/>
      <c r="M1" s="196"/>
      <c r="N1" s="196"/>
      <c r="O1" s="196"/>
      <c r="P1" s="245"/>
      <c r="Q1" s="245"/>
      <c r="R1" s="245"/>
      <c r="S1" s="246"/>
      <c r="T1" s="246"/>
      <c r="U1" s="246"/>
      <c r="V1" s="496" t="s">
        <v>68</v>
      </c>
      <c r="W1" s="496"/>
      <c r="X1" s="496"/>
      <c r="Y1" s="247"/>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row>
    <row r="2" spans="1:84" s="192" customFormat="1" ht="16.5">
      <c r="A2" s="505" t="s">
        <v>380</v>
      </c>
      <c r="B2" s="505"/>
      <c r="C2" s="505"/>
      <c r="D2" s="505"/>
      <c r="E2" s="505"/>
      <c r="F2" s="505"/>
      <c r="G2" s="505"/>
      <c r="H2" s="505"/>
      <c r="I2" s="505"/>
      <c r="J2" s="505"/>
      <c r="K2" s="505"/>
      <c r="L2" s="505"/>
      <c r="M2" s="505"/>
      <c r="N2" s="505"/>
      <c r="O2" s="505"/>
      <c r="P2" s="505"/>
      <c r="Q2" s="505"/>
      <c r="R2" s="505"/>
      <c r="S2" s="505"/>
      <c r="T2" s="505"/>
      <c r="U2" s="505"/>
      <c r="V2" s="505"/>
      <c r="W2" s="505"/>
      <c r="X2" s="505"/>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row>
    <row r="3" spans="1:84" s="192" customFormat="1" ht="18.75" customHeight="1">
      <c r="A3" s="467" t="str">
        <f>'53'!A3:K3</f>
        <v>(Kèm theo Nghị quyết số      /NQ-HĐND ngày      tháng  6 năm 2024 của HĐND tỉnh Điện Biên)</v>
      </c>
      <c r="B3" s="467"/>
      <c r="C3" s="467"/>
      <c r="D3" s="467"/>
      <c r="E3" s="467"/>
      <c r="F3" s="467"/>
      <c r="G3" s="467"/>
      <c r="H3" s="467"/>
      <c r="I3" s="467"/>
      <c r="J3" s="467"/>
      <c r="K3" s="467"/>
      <c r="L3" s="467"/>
      <c r="M3" s="467"/>
      <c r="N3" s="467"/>
      <c r="O3" s="467"/>
      <c r="P3" s="467"/>
      <c r="Q3" s="467"/>
      <c r="R3" s="467"/>
      <c r="S3" s="467"/>
      <c r="T3" s="467"/>
      <c r="U3" s="467"/>
      <c r="V3" s="467"/>
      <c r="W3" s="467"/>
      <c r="X3" s="467"/>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row>
    <row r="4" spans="1:84" s="192" customFormat="1" ht="18.75" customHeight="1">
      <c r="A4" s="308"/>
      <c r="B4" s="308"/>
      <c r="C4" s="201"/>
      <c r="D4" s="201"/>
      <c r="E4" s="201"/>
      <c r="F4" s="201"/>
      <c r="G4" s="201"/>
      <c r="H4" s="201"/>
      <c r="I4" s="312"/>
      <c r="J4" s="312"/>
      <c r="K4" s="312"/>
      <c r="L4" s="312"/>
      <c r="M4" s="312"/>
      <c r="N4" s="347"/>
      <c r="O4" s="312"/>
      <c r="P4" s="312"/>
      <c r="Q4" s="312"/>
      <c r="R4" s="312"/>
      <c r="S4" s="308"/>
      <c r="T4" s="308"/>
      <c r="U4" s="308"/>
      <c r="V4" s="308"/>
      <c r="W4" s="308"/>
      <c r="X4" s="308"/>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row>
    <row r="5" spans="1:84" s="192" customFormat="1" ht="15.75" customHeight="1">
      <c r="A5" s="310"/>
      <c r="B5" s="307"/>
      <c r="C5" s="310"/>
      <c r="D5" s="310"/>
      <c r="E5" s="310"/>
      <c r="F5" s="310"/>
      <c r="G5" s="310"/>
      <c r="H5" s="310"/>
      <c r="I5" s="311"/>
      <c r="J5" s="311"/>
      <c r="K5" s="311"/>
      <c r="L5" s="311"/>
      <c r="M5" s="311"/>
      <c r="N5" s="346"/>
      <c r="O5" s="311"/>
      <c r="P5" s="311"/>
      <c r="Q5" s="311"/>
      <c r="R5" s="311"/>
      <c r="S5" s="248"/>
      <c r="T5" s="249"/>
      <c r="U5" s="249"/>
      <c r="V5" s="501" t="s">
        <v>117</v>
      </c>
      <c r="W5" s="501"/>
      <c r="X5" s="501"/>
      <c r="Y5" s="250"/>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39"/>
      <c r="CC5" s="239"/>
      <c r="CD5" s="239"/>
      <c r="CE5" s="239"/>
      <c r="CF5" s="239"/>
    </row>
    <row r="6" spans="1:84" s="187" customFormat="1" ht="22.5" customHeight="1">
      <c r="A6" s="502" t="s">
        <v>113</v>
      </c>
      <c r="B6" s="500" t="s">
        <v>231</v>
      </c>
      <c r="C6" s="498" t="s">
        <v>140</v>
      </c>
      <c r="D6" s="499"/>
      <c r="E6" s="499"/>
      <c r="F6" s="499"/>
      <c r="G6" s="499"/>
      <c r="H6" s="319"/>
      <c r="I6" s="491" t="s">
        <v>37</v>
      </c>
      <c r="J6" s="492"/>
      <c r="K6" s="492"/>
      <c r="L6" s="492"/>
      <c r="M6" s="492"/>
      <c r="N6" s="492"/>
      <c r="O6" s="492"/>
      <c r="P6" s="492"/>
      <c r="Q6" s="492"/>
      <c r="R6" s="493"/>
      <c r="S6" s="490" t="s">
        <v>193</v>
      </c>
      <c r="T6" s="490"/>
      <c r="U6" s="490"/>
      <c r="V6" s="490"/>
      <c r="W6" s="490"/>
      <c r="X6" s="49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0"/>
      <c r="BI6" s="240"/>
      <c r="BJ6" s="240"/>
      <c r="BK6" s="240"/>
      <c r="BL6" s="240"/>
      <c r="BM6" s="240"/>
      <c r="BN6" s="240"/>
      <c r="BO6" s="240"/>
      <c r="BP6" s="240"/>
      <c r="BQ6" s="240"/>
      <c r="BR6" s="240"/>
      <c r="BS6" s="240"/>
      <c r="BT6" s="240"/>
      <c r="BU6" s="240"/>
      <c r="BV6" s="240"/>
      <c r="BW6" s="240"/>
      <c r="BX6" s="240"/>
      <c r="BY6" s="240"/>
      <c r="BZ6" s="240"/>
      <c r="CA6" s="240"/>
      <c r="CB6" s="240"/>
      <c r="CC6" s="240"/>
      <c r="CD6" s="240"/>
      <c r="CE6" s="240"/>
      <c r="CF6" s="240"/>
    </row>
    <row r="7" spans="1:84" s="187" customFormat="1" ht="20.25" customHeight="1">
      <c r="A7" s="502"/>
      <c r="B7" s="500"/>
      <c r="C7" s="502" t="s">
        <v>227</v>
      </c>
      <c r="D7" s="486" t="s">
        <v>255</v>
      </c>
      <c r="E7" s="497" t="s">
        <v>256</v>
      </c>
      <c r="F7" s="494" t="s">
        <v>127</v>
      </c>
      <c r="G7" s="494" t="s">
        <v>156</v>
      </c>
      <c r="H7" s="494" t="s">
        <v>379</v>
      </c>
      <c r="I7" s="497" t="s">
        <v>227</v>
      </c>
      <c r="J7" s="486" t="s">
        <v>255</v>
      </c>
      <c r="K7" s="497" t="s">
        <v>256</v>
      </c>
      <c r="L7" s="486" t="s">
        <v>127</v>
      </c>
      <c r="M7" s="486" t="s">
        <v>156</v>
      </c>
      <c r="N7" s="491" t="s">
        <v>207</v>
      </c>
      <c r="O7" s="492"/>
      <c r="P7" s="493"/>
      <c r="Q7" s="486" t="s">
        <v>66</v>
      </c>
      <c r="R7" s="486" t="s">
        <v>379</v>
      </c>
      <c r="S7" s="490" t="s">
        <v>227</v>
      </c>
      <c r="T7" s="488" t="s">
        <v>191</v>
      </c>
      <c r="U7" s="490" t="s">
        <v>126</v>
      </c>
      <c r="V7" s="486" t="s">
        <v>127</v>
      </c>
      <c r="W7" s="488" t="s">
        <v>156</v>
      </c>
      <c r="X7" s="488" t="s">
        <v>377</v>
      </c>
      <c r="Y7" s="503" t="s">
        <v>335</v>
      </c>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0"/>
      <c r="CA7" s="240"/>
      <c r="CB7" s="240"/>
      <c r="CC7" s="240"/>
      <c r="CD7" s="240"/>
      <c r="CE7" s="240"/>
      <c r="CF7" s="240"/>
    </row>
    <row r="8" spans="1:84" s="187" customFormat="1" ht="114" customHeight="1">
      <c r="A8" s="502"/>
      <c r="B8" s="500"/>
      <c r="C8" s="502"/>
      <c r="D8" s="487"/>
      <c r="E8" s="497"/>
      <c r="F8" s="495"/>
      <c r="G8" s="495"/>
      <c r="H8" s="495"/>
      <c r="I8" s="497"/>
      <c r="J8" s="487"/>
      <c r="K8" s="497"/>
      <c r="L8" s="487"/>
      <c r="M8" s="487"/>
      <c r="N8" s="345" t="s">
        <v>227</v>
      </c>
      <c r="O8" s="309" t="s">
        <v>213</v>
      </c>
      <c r="P8" s="309" t="s">
        <v>208</v>
      </c>
      <c r="Q8" s="487"/>
      <c r="R8" s="487"/>
      <c r="S8" s="490"/>
      <c r="T8" s="489"/>
      <c r="U8" s="490"/>
      <c r="V8" s="487"/>
      <c r="W8" s="489"/>
      <c r="X8" s="489"/>
      <c r="Y8" s="504"/>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240"/>
      <c r="BV8" s="240"/>
      <c r="BW8" s="240"/>
      <c r="BX8" s="240"/>
      <c r="BY8" s="240"/>
      <c r="BZ8" s="240"/>
      <c r="CA8" s="240"/>
      <c r="CB8" s="240"/>
      <c r="CC8" s="240"/>
      <c r="CD8" s="240"/>
      <c r="CE8" s="240"/>
      <c r="CF8" s="240"/>
    </row>
    <row r="9" spans="1:84" s="187" customFormat="1" ht="30" customHeight="1">
      <c r="A9" s="257" t="s">
        <v>115</v>
      </c>
      <c r="B9" s="258" t="s">
        <v>116</v>
      </c>
      <c r="C9" s="257">
        <v>1</v>
      </c>
      <c r="D9" s="257">
        <v>2</v>
      </c>
      <c r="E9" s="257">
        <v>3</v>
      </c>
      <c r="F9" s="257">
        <v>4</v>
      </c>
      <c r="G9" s="257">
        <v>5</v>
      </c>
      <c r="H9" s="257">
        <v>6</v>
      </c>
      <c r="I9" s="257">
        <v>7</v>
      </c>
      <c r="J9" s="257">
        <v>8</v>
      </c>
      <c r="K9" s="257">
        <v>9</v>
      </c>
      <c r="L9" s="257">
        <v>10</v>
      </c>
      <c r="M9" s="257">
        <v>11</v>
      </c>
      <c r="N9" s="257">
        <v>12</v>
      </c>
      <c r="O9" s="257">
        <v>13</v>
      </c>
      <c r="P9" s="257">
        <v>14</v>
      </c>
      <c r="Q9" s="257">
        <v>15</v>
      </c>
      <c r="R9" s="257">
        <v>16</v>
      </c>
      <c r="S9" s="257" t="s">
        <v>386</v>
      </c>
      <c r="T9" s="343" t="s">
        <v>381</v>
      </c>
      <c r="U9" s="343" t="s">
        <v>382</v>
      </c>
      <c r="V9" s="343" t="s">
        <v>383</v>
      </c>
      <c r="W9" s="343" t="s">
        <v>384</v>
      </c>
      <c r="X9" s="343" t="s">
        <v>385</v>
      </c>
      <c r="Y9" s="257">
        <v>15</v>
      </c>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BR9" s="240"/>
      <c r="BS9" s="240"/>
      <c r="BT9" s="240"/>
      <c r="BU9" s="240"/>
      <c r="BV9" s="240"/>
      <c r="BW9" s="240"/>
      <c r="BX9" s="240"/>
      <c r="BY9" s="240"/>
      <c r="BZ9" s="240"/>
      <c r="CA9" s="240"/>
      <c r="CB9" s="240"/>
      <c r="CC9" s="240"/>
      <c r="CD9" s="240"/>
      <c r="CE9" s="240"/>
      <c r="CF9" s="240"/>
    </row>
    <row r="10" spans="1:84" s="188" customFormat="1" ht="14.25" customHeight="1">
      <c r="A10" s="305"/>
      <c r="B10" s="321" t="s">
        <v>228</v>
      </c>
      <c r="C10" s="322">
        <f aca="true" t="shared" si="0" ref="C10:R10">C11+C79+C80+C81+C82+C83</f>
        <v>9898652.718554001</v>
      </c>
      <c r="D10" s="322">
        <f t="shared" si="0"/>
        <v>2779637.7185540004</v>
      </c>
      <c r="E10" s="322">
        <f t="shared" si="0"/>
        <v>2122812</v>
      </c>
      <c r="F10" s="322">
        <f t="shared" si="0"/>
        <v>7500</v>
      </c>
      <c r="G10" s="322">
        <f t="shared" si="0"/>
        <v>1000</v>
      </c>
      <c r="H10" s="322">
        <f t="shared" si="0"/>
        <v>4987703</v>
      </c>
      <c r="I10" s="323">
        <f t="shared" si="0"/>
        <v>13519008.280411001</v>
      </c>
      <c r="J10" s="323">
        <f t="shared" si="0"/>
        <v>1822933.733118</v>
      </c>
      <c r="K10" s="323">
        <f t="shared" si="0"/>
        <v>2319268.4164790004</v>
      </c>
      <c r="L10" s="323">
        <f t="shared" si="0"/>
        <v>5599.257</v>
      </c>
      <c r="M10" s="323">
        <f t="shared" si="0"/>
        <v>1000</v>
      </c>
      <c r="N10" s="323">
        <f t="shared" si="0"/>
        <v>210265.71348699997</v>
      </c>
      <c r="O10" s="323">
        <f t="shared" si="0"/>
        <v>189821.824084</v>
      </c>
      <c r="P10" s="323">
        <f t="shared" si="0"/>
        <v>20443.889402999997</v>
      </c>
      <c r="Q10" s="323">
        <f t="shared" si="0"/>
        <v>2720769.886379</v>
      </c>
      <c r="R10" s="323">
        <f t="shared" si="0"/>
        <v>6439171.273948001</v>
      </c>
      <c r="S10" s="324">
        <f>I10/C10</f>
        <v>1.3657422545061124</v>
      </c>
      <c r="T10" s="324">
        <f>J10/D10</f>
        <v>0.6558170228263815</v>
      </c>
      <c r="U10" s="324">
        <f>K10/E10</f>
        <v>1.092545367408419</v>
      </c>
      <c r="V10" s="324">
        <f>L10/F10</f>
        <v>0.7465676</v>
      </c>
      <c r="W10" s="324">
        <f>M10/G10</f>
        <v>1</v>
      </c>
      <c r="X10" s="325">
        <f>R10/H10</f>
        <v>1.2910093632174973</v>
      </c>
      <c r="Y10" s="181" t="e">
        <f>Y11+#REF!+#REF!</f>
        <v>#REF!</v>
      </c>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c r="BR10" s="241"/>
      <c r="BS10" s="241"/>
      <c r="BT10" s="241"/>
      <c r="BU10" s="241"/>
      <c r="BV10" s="241"/>
      <c r="BW10" s="241"/>
      <c r="BX10" s="241"/>
      <c r="BY10" s="241"/>
      <c r="BZ10" s="241"/>
      <c r="CA10" s="241"/>
      <c r="CB10" s="241"/>
      <c r="CC10" s="241"/>
      <c r="CD10" s="241"/>
      <c r="CE10" s="241"/>
      <c r="CF10" s="241"/>
    </row>
    <row r="11" spans="1:84" s="188" customFormat="1" ht="14.25" customHeight="1">
      <c r="A11" s="429" t="s">
        <v>123</v>
      </c>
      <c r="B11" s="430" t="s">
        <v>371</v>
      </c>
      <c r="C11" s="97">
        <f>SUM(C12:C78)</f>
        <v>4902449.718554</v>
      </c>
      <c r="D11" s="97">
        <f>SUM(D12:D78)</f>
        <v>2779637.7185540004</v>
      </c>
      <c r="E11" s="97">
        <f>SUM(E12:E78)</f>
        <v>2122812</v>
      </c>
      <c r="F11" s="97"/>
      <c r="G11" s="97"/>
      <c r="H11" s="97"/>
      <c r="I11" s="313">
        <f aca="true" t="shared" si="1" ref="I11:P11">SUM(I12:I78)</f>
        <v>4352467.863084001</v>
      </c>
      <c r="J11" s="313">
        <f t="shared" si="1"/>
        <v>1822933.733118</v>
      </c>
      <c r="K11" s="313">
        <f t="shared" si="1"/>
        <v>2319268.4164790004</v>
      </c>
      <c r="L11" s="313"/>
      <c r="M11" s="313"/>
      <c r="N11" s="313">
        <f t="shared" si="1"/>
        <v>210265.71348699997</v>
      </c>
      <c r="O11" s="313">
        <f t="shared" si="1"/>
        <v>189821.824084</v>
      </c>
      <c r="P11" s="313">
        <f t="shared" si="1"/>
        <v>20443.889402999997</v>
      </c>
      <c r="Q11" s="313"/>
      <c r="R11" s="313"/>
      <c r="S11" s="234">
        <f aca="true" t="shared" si="2" ref="S11:S72">I11/C11</f>
        <v>0.8878148911168804</v>
      </c>
      <c r="T11" s="234">
        <f aca="true" t="shared" si="3" ref="T11:T57">J11/D11</f>
        <v>0.6558170228263815</v>
      </c>
      <c r="U11" s="234">
        <f aca="true" t="shared" si="4" ref="U11:U72">K11/E11</f>
        <v>1.092545367408419</v>
      </c>
      <c r="V11" s="234"/>
      <c r="W11" s="234"/>
      <c r="X11" s="98"/>
      <c r="Y11" s="182">
        <f>SUM(Y12:Y78)</f>
        <v>69783.30856400002</v>
      </c>
      <c r="Z11" s="314"/>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41"/>
      <c r="BY11" s="241"/>
      <c r="BZ11" s="241"/>
      <c r="CA11" s="241"/>
      <c r="CB11" s="241"/>
      <c r="CC11" s="241"/>
      <c r="CD11" s="241"/>
      <c r="CE11" s="241"/>
      <c r="CF11" s="241"/>
    </row>
    <row r="12" spans="1:84" s="189" customFormat="1" ht="14.25" customHeight="1">
      <c r="A12" s="431">
        <v>1</v>
      </c>
      <c r="B12" s="432" t="s">
        <v>234</v>
      </c>
      <c r="C12" s="315">
        <f aca="true" t="shared" si="5" ref="C12:C41">SUM(D12:G12,H12)</f>
        <v>97774.566</v>
      </c>
      <c r="D12" s="315">
        <v>8974.566</v>
      </c>
      <c r="E12" s="315">
        <v>88800</v>
      </c>
      <c r="F12" s="315"/>
      <c r="G12" s="315"/>
      <c r="H12" s="315"/>
      <c r="I12" s="232">
        <f>J12+K12+N12+Q12+R12+L12+M12</f>
        <v>100092.15040099999</v>
      </c>
      <c r="J12" s="232">
        <v>8974.56248</v>
      </c>
      <c r="K12" s="232">
        <f>1122.881+89994.706921</f>
        <v>91117.587921</v>
      </c>
      <c r="L12" s="232"/>
      <c r="M12" s="232"/>
      <c r="N12" s="232"/>
      <c r="O12" s="232"/>
      <c r="P12" s="232"/>
      <c r="Q12" s="232"/>
      <c r="R12" s="232"/>
      <c r="S12" s="235">
        <f t="shared" si="2"/>
        <v>1.0237033463385559</v>
      </c>
      <c r="T12" s="235">
        <f t="shared" si="3"/>
        <v>0.9999996077804765</v>
      </c>
      <c r="U12" s="235">
        <f t="shared" si="4"/>
        <v>1.0260989630743242</v>
      </c>
      <c r="V12" s="235"/>
      <c r="W12" s="235"/>
      <c r="X12" s="177"/>
      <c r="Y12" s="183">
        <v>176.01948</v>
      </c>
      <c r="Z12" s="314"/>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2"/>
      <c r="BV12" s="242"/>
      <c r="BW12" s="242"/>
      <c r="BX12" s="242"/>
      <c r="BY12" s="242"/>
      <c r="BZ12" s="242"/>
      <c r="CA12" s="242"/>
      <c r="CB12" s="242"/>
      <c r="CC12" s="242"/>
      <c r="CD12" s="242"/>
      <c r="CE12" s="242"/>
      <c r="CF12" s="242"/>
    </row>
    <row r="13" spans="1:84" s="185" customFormat="1" ht="14.25" customHeight="1">
      <c r="A13" s="431">
        <v>2</v>
      </c>
      <c r="B13" s="433" t="s">
        <v>372</v>
      </c>
      <c r="C13" s="315">
        <f t="shared" si="5"/>
        <v>18226.147</v>
      </c>
      <c r="D13" s="316">
        <v>7.147</v>
      </c>
      <c r="E13" s="316">
        <v>18219</v>
      </c>
      <c r="F13" s="316"/>
      <c r="G13" s="316"/>
      <c r="H13" s="316"/>
      <c r="I13" s="232">
        <f aca="true" t="shared" si="6" ref="I13:I74">J13+K13+N13+Q13+R13+L13+M13</f>
        <v>19099.700808</v>
      </c>
      <c r="J13" s="197">
        <v>3.499</v>
      </c>
      <c r="K13" s="197">
        <f>17755.037808+1341.164</f>
        <v>19096.201808</v>
      </c>
      <c r="L13" s="197"/>
      <c r="M13" s="197"/>
      <c r="N13" s="232"/>
      <c r="O13" s="197"/>
      <c r="P13" s="197"/>
      <c r="Q13" s="197"/>
      <c r="R13" s="197"/>
      <c r="S13" s="235">
        <f t="shared" si="2"/>
        <v>1.04792860542604</v>
      </c>
      <c r="T13" s="235">
        <f t="shared" si="3"/>
        <v>0.48957604589338183</v>
      </c>
      <c r="U13" s="235">
        <f t="shared" si="4"/>
        <v>1.048147637521269</v>
      </c>
      <c r="V13" s="235"/>
      <c r="W13" s="236"/>
      <c r="X13" s="177"/>
      <c r="Y13" s="184">
        <v>515.90476</v>
      </c>
      <c r="Z13" s="314"/>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row>
    <row r="14" spans="1:84" s="185" customFormat="1" ht="14.25" customHeight="1">
      <c r="A14" s="431">
        <v>3</v>
      </c>
      <c r="B14" s="433" t="s">
        <v>323</v>
      </c>
      <c r="C14" s="315">
        <f t="shared" si="5"/>
        <v>32947</v>
      </c>
      <c r="D14" s="129">
        <v>7758</v>
      </c>
      <c r="E14" s="316">
        <v>25189</v>
      </c>
      <c r="F14" s="316"/>
      <c r="G14" s="316"/>
      <c r="H14" s="316"/>
      <c r="I14" s="232">
        <f t="shared" si="6"/>
        <v>38641.655081</v>
      </c>
      <c r="J14" s="197">
        <v>7153.699</v>
      </c>
      <c r="K14" s="197">
        <f>29915.584081+1572.372</f>
        <v>31487.956081</v>
      </c>
      <c r="L14" s="197"/>
      <c r="M14" s="197"/>
      <c r="N14" s="232"/>
      <c r="O14" s="197"/>
      <c r="P14" s="197"/>
      <c r="Q14" s="197"/>
      <c r="R14" s="197"/>
      <c r="S14" s="235">
        <f t="shared" si="2"/>
        <v>1.1728429016602422</v>
      </c>
      <c r="T14" s="235">
        <f t="shared" si="3"/>
        <v>0.9221060840422789</v>
      </c>
      <c r="U14" s="235">
        <f t="shared" si="4"/>
        <v>1.250067731192187</v>
      </c>
      <c r="V14" s="235"/>
      <c r="W14" s="236"/>
      <c r="X14" s="177"/>
      <c r="Y14" s="184">
        <v>342.784919</v>
      </c>
      <c r="Z14" s="314"/>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c r="BR14" s="243"/>
      <c r="BS14" s="243"/>
      <c r="BT14" s="243"/>
      <c r="BU14" s="243"/>
      <c r="BV14" s="243"/>
      <c r="BW14" s="243"/>
      <c r="BX14" s="243"/>
      <c r="BY14" s="243"/>
      <c r="BZ14" s="243"/>
      <c r="CA14" s="243"/>
      <c r="CB14" s="243"/>
      <c r="CC14" s="243"/>
      <c r="CD14" s="243"/>
      <c r="CE14" s="243"/>
      <c r="CF14" s="243"/>
    </row>
    <row r="15" spans="1:84" s="185" customFormat="1" ht="14.25" customHeight="1">
      <c r="A15" s="431">
        <v>4</v>
      </c>
      <c r="B15" s="433" t="s">
        <v>108</v>
      </c>
      <c r="C15" s="315">
        <f t="shared" si="5"/>
        <v>31222</v>
      </c>
      <c r="D15" s="129">
        <v>19500</v>
      </c>
      <c r="E15" s="316">
        <v>11722</v>
      </c>
      <c r="F15" s="316"/>
      <c r="G15" s="316"/>
      <c r="H15" s="316"/>
      <c r="I15" s="232">
        <f t="shared" si="6"/>
        <v>52707.813444</v>
      </c>
      <c r="J15" s="197">
        <v>20523.066679</v>
      </c>
      <c r="K15" s="197">
        <f>11895.229565+20289.5172</f>
        <v>32184.746764999996</v>
      </c>
      <c r="L15" s="197"/>
      <c r="M15" s="197"/>
      <c r="N15" s="232"/>
      <c r="O15" s="197"/>
      <c r="P15" s="197"/>
      <c r="Q15" s="197"/>
      <c r="R15" s="197"/>
      <c r="S15" s="235">
        <f t="shared" si="2"/>
        <v>1.6881626239190315</v>
      </c>
      <c r="T15" s="235">
        <f t="shared" si="3"/>
        <v>1.0524649578974359</v>
      </c>
      <c r="U15" s="235">
        <f t="shared" si="4"/>
        <v>2.745670258061764</v>
      </c>
      <c r="V15" s="236"/>
      <c r="W15" s="236"/>
      <c r="X15" s="177"/>
      <c r="Y15" s="184">
        <f>170.247722+20289.5172</f>
        <v>20459.764922</v>
      </c>
      <c r="Z15" s="314"/>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3"/>
      <c r="BL15" s="243"/>
      <c r="BM15" s="243"/>
      <c r="BN15" s="243"/>
      <c r="BO15" s="243"/>
      <c r="BP15" s="243"/>
      <c r="BQ15" s="243"/>
      <c r="BR15" s="243"/>
      <c r="BS15" s="243"/>
      <c r="BT15" s="243"/>
      <c r="BU15" s="243"/>
      <c r="BV15" s="243"/>
      <c r="BW15" s="243"/>
      <c r="BX15" s="243"/>
      <c r="BY15" s="243"/>
      <c r="BZ15" s="243"/>
      <c r="CA15" s="243"/>
      <c r="CB15" s="243"/>
      <c r="CC15" s="243"/>
      <c r="CD15" s="243"/>
      <c r="CE15" s="243"/>
      <c r="CF15" s="243"/>
    </row>
    <row r="16" spans="1:84" s="185" customFormat="1" ht="14.25" customHeight="1">
      <c r="A16" s="431">
        <v>5</v>
      </c>
      <c r="B16" s="433" t="s">
        <v>247</v>
      </c>
      <c r="C16" s="315">
        <f t="shared" si="5"/>
        <v>492693.165</v>
      </c>
      <c r="D16" s="129">
        <v>29954.165</v>
      </c>
      <c r="E16" s="317">
        <v>462739</v>
      </c>
      <c r="F16" s="317"/>
      <c r="G16" s="317"/>
      <c r="H16" s="317"/>
      <c r="I16" s="232">
        <f t="shared" si="6"/>
        <v>498448.442833</v>
      </c>
      <c r="J16" s="233">
        <v>26326.389</v>
      </c>
      <c r="K16" s="233">
        <f>455740.131633+10484.1261</f>
        <v>466224.257733</v>
      </c>
      <c r="L16" s="233"/>
      <c r="M16" s="233"/>
      <c r="N16" s="232">
        <f>O16+P16</f>
        <v>5897.7961000000005</v>
      </c>
      <c r="O16" s="233">
        <v>5737.636</v>
      </c>
      <c r="P16" s="233">
        <v>160.1601</v>
      </c>
      <c r="Q16" s="233"/>
      <c r="R16" s="233"/>
      <c r="S16" s="235">
        <f t="shared" si="2"/>
        <v>1.0116812617707007</v>
      </c>
      <c r="T16" s="235">
        <f t="shared" si="3"/>
        <v>0.8788890960572594</v>
      </c>
      <c r="U16" s="235">
        <f t="shared" si="4"/>
        <v>1.0075318002869869</v>
      </c>
      <c r="V16" s="236"/>
      <c r="W16" s="236"/>
      <c r="X16" s="177"/>
      <c r="Y16" s="190">
        <v>4294.202953</v>
      </c>
      <c r="Z16" s="314"/>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c r="BV16" s="243"/>
      <c r="BW16" s="243"/>
      <c r="BX16" s="243"/>
      <c r="BY16" s="243"/>
      <c r="BZ16" s="243"/>
      <c r="CA16" s="243"/>
      <c r="CB16" s="243"/>
      <c r="CC16" s="243"/>
      <c r="CD16" s="243"/>
      <c r="CE16" s="243"/>
      <c r="CF16" s="243"/>
    </row>
    <row r="17" spans="1:84" s="185" customFormat="1" ht="14.25" customHeight="1">
      <c r="A17" s="431">
        <v>6</v>
      </c>
      <c r="B17" s="433" t="s">
        <v>313</v>
      </c>
      <c r="C17" s="315">
        <f t="shared" si="5"/>
        <v>83613.874</v>
      </c>
      <c r="D17" s="129">
        <f>120026.874-100000</f>
        <v>20026.873999999996</v>
      </c>
      <c r="E17" s="316">
        <v>63587</v>
      </c>
      <c r="F17" s="316"/>
      <c r="G17" s="316"/>
      <c r="H17" s="316"/>
      <c r="I17" s="232">
        <f t="shared" si="6"/>
        <v>132563.577373</v>
      </c>
      <c r="J17" s="197">
        <v>66138.715901</v>
      </c>
      <c r="K17" s="197">
        <v>66424.861472</v>
      </c>
      <c r="L17" s="197"/>
      <c r="M17" s="197"/>
      <c r="N17" s="232"/>
      <c r="O17" s="197"/>
      <c r="P17" s="197"/>
      <c r="Q17" s="197"/>
      <c r="R17" s="197"/>
      <c r="S17" s="235">
        <f t="shared" si="2"/>
        <v>1.5854256121777113</v>
      </c>
      <c r="T17" s="235">
        <f t="shared" si="3"/>
        <v>3.302498228180794</v>
      </c>
      <c r="U17" s="235">
        <f t="shared" si="4"/>
        <v>1.0446295857958388</v>
      </c>
      <c r="V17" s="236"/>
      <c r="W17" s="236"/>
      <c r="X17" s="177"/>
      <c r="Y17" s="184">
        <v>115.629227</v>
      </c>
      <c r="Z17" s="314"/>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c r="BV17" s="243"/>
      <c r="BW17" s="243"/>
      <c r="BX17" s="243"/>
      <c r="BY17" s="243"/>
      <c r="BZ17" s="243"/>
      <c r="CA17" s="243"/>
      <c r="CB17" s="243"/>
      <c r="CC17" s="243"/>
      <c r="CD17" s="243"/>
      <c r="CE17" s="243"/>
      <c r="CF17" s="243"/>
    </row>
    <row r="18" spans="1:84" s="185" customFormat="1" ht="14.25" customHeight="1">
      <c r="A18" s="431">
        <v>7</v>
      </c>
      <c r="B18" s="433" t="s">
        <v>252</v>
      </c>
      <c r="C18" s="315">
        <f t="shared" si="5"/>
        <v>26311.597</v>
      </c>
      <c r="D18" s="129">
        <v>16437.597</v>
      </c>
      <c r="E18" s="316">
        <v>9874</v>
      </c>
      <c r="F18" s="316"/>
      <c r="G18" s="316"/>
      <c r="H18" s="316"/>
      <c r="I18" s="232">
        <f t="shared" si="6"/>
        <v>31056.951632</v>
      </c>
      <c r="J18" s="197">
        <v>21071.7913</v>
      </c>
      <c r="K18" s="197">
        <v>9888.843332</v>
      </c>
      <c r="L18" s="197"/>
      <c r="M18" s="197"/>
      <c r="N18" s="232">
        <f>O18+P18</f>
        <v>96.317</v>
      </c>
      <c r="O18" s="197"/>
      <c r="P18" s="197">
        <v>96.317</v>
      </c>
      <c r="Q18" s="197"/>
      <c r="R18" s="197"/>
      <c r="S18" s="235">
        <f t="shared" si="2"/>
        <v>1.1803522086477685</v>
      </c>
      <c r="T18" s="235">
        <f t="shared" si="3"/>
        <v>1.281926506654227</v>
      </c>
      <c r="U18" s="235">
        <f t="shared" si="4"/>
        <v>1.001503274458173</v>
      </c>
      <c r="V18" s="236"/>
      <c r="W18" s="236"/>
      <c r="X18" s="177"/>
      <c r="Y18" s="184">
        <v>453.029123</v>
      </c>
      <c r="Z18" s="314"/>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row>
    <row r="19" spans="1:84" s="185" customFormat="1" ht="14.25" customHeight="1">
      <c r="A19" s="431">
        <v>8</v>
      </c>
      <c r="B19" s="433" t="s">
        <v>298</v>
      </c>
      <c r="C19" s="315">
        <f t="shared" si="5"/>
        <v>26820.889</v>
      </c>
      <c r="D19" s="316">
        <v>4019.889</v>
      </c>
      <c r="E19" s="316">
        <v>22801</v>
      </c>
      <c r="F19" s="316"/>
      <c r="G19" s="316"/>
      <c r="H19" s="316"/>
      <c r="I19" s="232">
        <f t="shared" si="6"/>
        <v>19072.878154</v>
      </c>
      <c r="J19" s="197">
        <v>3919.889</v>
      </c>
      <c r="K19" s="197">
        <v>15152.989154</v>
      </c>
      <c r="L19" s="197"/>
      <c r="M19" s="197"/>
      <c r="N19" s="232"/>
      <c r="O19" s="197"/>
      <c r="P19" s="197"/>
      <c r="Q19" s="197"/>
      <c r="R19" s="197"/>
      <c r="S19" s="235">
        <f t="shared" si="2"/>
        <v>0.7111202821800576</v>
      </c>
      <c r="T19" s="235">
        <f t="shared" si="3"/>
        <v>0.9751236912263</v>
      </c>
      <c r="U19" s="235">
        <f t="shared" si="4"/>
        <v>0.6645756394017807</v>
      </c>
      <c r="V19" s="236"/>
      <c r="W19" s="236"/>
      <c r="X19" s="177"/>
      <c r="Y19" s="184">
        <v>657.64025</v>
      </c>
      <c r="Z19" s="314"/>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c r="BV19" s="243"/>
      <c r="BW19" s="243"/>
      <c r="BX19" s="243"/>
      <c r="BY19" s="243"/>
      <c r="BZ19" s="243"/>
      <c r="CA19" s="243"/>
      <c r="CB19" s="243"/>
      <c r="CC19" s="243"/>
      <c r="CD19" s="243"/>
      <c r="CE19" s="243"/>
      <c r="CF19" s="243"/>
    </row>
    <row r="20" spans="1:84" s="185" customFormat="1" ht="14.25" customHeight="1">
      <c r="A20" s="431">
        <v>9</v>
      </c>
      <c r="B20" s="433" t="s">
        <v>315</v>
      </c>
      <c r="C20" s="315">
        <f t="shared" si="5"/>
        <v>43919</v>
      </c>
      <c r="D20" s="129">
        <v>4000</v>
      </c>
      <c r="E20" s="316">
        <v>39919</v>
      </c>
      <c r="F20" s="316"/>
      <c r="G20" s="316"/>
      <c r="H20" s="316"/>
      <c r="I20" s="232">
        <f t="shared" si="6"/>
        <v>71263.545809</v>
      </c>
      <c r="J20" s="197">
        <v>4000</v>
      </c>
      <c r="K20" s="197">
        <f>43635.359496+16861.742867</f>
        <v>60497.102363</v>
      </c>
      <c r="L20" s="197"/>
      <c r="M20" s="197"/>
      <c r="N20" s="232">
        <f>O20+P20</f>
        <v>6766.443446</v>
      </c>
      <c r="O20" s="197">
        <v>5290</v>
      </c>
      <c r="P20" s="197">
        <v>1476.443446</v>
      </c>
      <c r="Q20" s="197"/>
      <c r="R20" s="197"/>
      <c r="S20" s="235">
        <f t="shared" si="2"/>
        <v>1.622613124365309</v>
      </c>
      <c r="T20" s="235">
        <f t="shared" si="3"/>
        <v>1</v>
      </c>
      <c r="U20" s="235">
        <f t="shared" si="4"/>
        <v>1.5154964393647135</v>
      </c>
      <c r="V20" s="236"/>
      <c r="W20" s="236"/>
      <c r="X20" s="177"/>
      <c r="Y20" s="184">
        <v>569.1248</v>
      </c>
      <c r="Z20" s="314"/>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3"/>
      <c r="CC20" s="243"/>
      <c r="CD20" s="243"/>
      <c r="CE20" s="243"/>
      <c r="CF20" s="243"/>
    </row>
    <row r="21" spans="1:84" s="185" customFormat="1" ht="14.25" customHeight="1">
      <c r="A21" s="431">
        <v>10</v>
      </c>
      <c r="B21" s="433" t="s">
        <v>112</v>
      </c>
      <c r="C21" s="315">
        <f t="shared" si="5"/>
        <v>24280</v>
      </c>
      <c r="D21" s="316">
        <v>200</v>
      </c>
      <c r="E21" s="316">
        <v>24080</v>
      </c>
      <c r="F21" s="316"/>
      <c r="G21" s="316"/>
      <c r="H21" s="316"/>
      <c r="I21" s="232">
        <f t="shared" si="6"/>
        <v>27216.043409</v>
      </c>
      <c r="J21" s="197">
        <v>199.239112</v>
      </c>
      <c r="K21" s="197">
        <f>26157.103297+859.701</f>
        <v>27016.804297000002</v>
      </c>
      <c r="L21" s="197"/>
      <c r="M21" s="197"/>
      <c r="N21" s="232"/>
      <c r="O21" s="197"/>
      <c r="P21" s="197"/>
      <c r="Q21" s="197"/>
      <c r="R21" s="197"/>
      <c r="S21" s="235">
        <f t="shared" si="2"/>
        <v>1.1209243578665569</v>
      </c>
      <c r="T21" s="235">
        <f t="shared" si="3"/>
        <v>0.99619556</v>
      </c>
      <c r="U21" s="235">
        <f t="shared" si="4"/>
        <v>1.1219603113372094</v>
      </c>
      <c r="V21" s="236"/>
      <c r="W21" s="236"/>
      <c r="X21" s="177"/>
      <c r="Y21" s="184"/>
      <c r="Z21" s="314"/>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c r="CC21" s="243"/>
      <c r="CD21" s="243"/>
      <c r="CE21" s="243"/>
      <c r="CF21" s="243"/>
    </row>
    <row r="22" spans="1:84" s="185" customFormat="1" ht="14.25" customHeight="1">
      <c r="A22" s="431">
        <v>11</v>
      </c>
      <c r="B22" s="433" t="s">
        <v>248</v>
      </c>
      <c r="C22" s="315">
        <f t="shared" si="5"/>
        <v>168930.5064</v>
      </c>
      <c r="D22" s="129">
        <v>62263.5064</v>
      </c>
      <c r="E22" s="316">
        <v>106667</v>
      </c>
      <c r="F22" s="316"/>
      <c r="G22" s="316"/>
      <c r="H22" s="316"/>
      <c r="I22" s="232">
        <f t="shared" si="6"/>
        <v>175698.03594499998</v>
      </c>
      <c r="J22" s="197">
        <v>60217.606164</v>
      </c>
      <c r="K22" s="197">
        <f>108456.282948+6500+64.180733</f>
        <v>115020.463681</v>
      </c>
      <c r="L22" s="197"/>
      <c r="M22" s="197"/>
      <c r="N22" s="232">
        <f>O22+P22</f>
        <v>459.9661</v>
      </c>
      <c r="O22" s="197"/>
      <c r="P22" s="197">
        <v>459.9661</v>
      </c>
      <c r="Q22" s="197"/>
      <c r="R22" s="197"/>
      <c r="S22" s="235">
        <f t="shared" si="2"/>
        <v>1.0400610268045698</v>
      </c>
      <c r="T22" s="235">
        <f t="shared" si="3"/>
        <v>0.9671412621246143</v>
      </c>
      <c r="U22" s="235">
        <f t="shared" si="4"/>
        <v>1.0783134772797585</v>
      </c>
      <c r="V22" s="236"/>
      <c r="W22" s="236"/>
      <c r="X22" s="177"/>
      <c r="Y22" s="184">
        <v>382.426326</v>
      </c>
      <c r="Z22" s="314"/>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row>
    <row r="23" spans="1:84" s="185" customFormat="1" ht="14.25" customHeight="1">
      <c r="A23" s="431">
        <v>12</v>
      </c>
      <c r="B23" s="433" t="s">
        <v>106</v>
      </c>
      <c r="C23" s="315">
        <f t="shared" si="5"/>
        <v>4638</v>
      </c>
      <c r="D23" s="316"/>
      <c r="E23" s="316">
        <v>4638</v>
      </c>
      <c r="F23" s="316"/>
      <c r="G23" s="316"/>
      <c r="H23" s="316"/>
      <c r="I23" s="232">
        <f t="shared" si="6"/>
        <v>5355.28</v>
      </c>
      <c r="J23" s="197"/>
      <c r="K23" s="197">
        <v>5355.28</v>
      </c>
      <c r="L23" s="197"/>
      <c r="M23" s="197"/>
      <c r="N23" s="232"/>
      <c r="O23" s="197"/>
      <c r="P23" s="197"/>
      <c r="Q23" s="197"/>
      <c r="R23" s="197"/>
      <c r="S23" s="235">
        <f t="shared" si="2"/>
        <v>1.1546528676153514</v>
      </c>
      <c r="T23" s="235"/>
      <c r="U23" s="235">
        <f t="shared" si="4"/>
        <v>1.1546528676153514</v>
      </c>
      <c r="V23" s="236"/>
      <c r="W23" s="236"/>
      <c r="X23" s="177"/>
      <c r="Y23" s="184">
        <v>25.72197</v>
      </c>
      <c r="Z23" s="314"/>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3"/>
      <c r="BW23" s="243"/>
      <c r="BX23" s="243"/>
      <c r="BY23" s="243"/>
      <c r="BZ23" s="243"/>
      <c r="CA23" s="243"/>
      <c r="CB23" s="243"/>
      <c r="CC23" s="243"/>
      <c r="CD23" s="243"/>
      <c r="CE23" s="243"/>
      <c r="CF23" s="243"/>
    </row>
    <row r="24" spans="1:84" s="185" customFormat="1" ht="14.25" customHeight="1">
      <c r="A24" s="431">
        <v>13</v>
      </c>
      <c r="B24" s="433" t="s">
        <v>109</v>
      </c>
      <c r="C24" s="315">
        <f t="shared" si="5"/>
        <v>12854</v>
      </c>
      <c r="D24" s="316"/>
      <c r="E24" s="316">
        <v>12854</v>
      </c>
      <c r="F24" s="316"/>
      <c r="G24" s="316"/>
      <c r="H24" s="316"/>
      <c r="I24" s="232">
        <f t="shared" si="6"/>
        <v>14509.681</v>
      </c>
      <c r="J24" s="197"/>
      <c r="K24" s="197">
        <v>14509.681</v>
      </c>
      <c r="L24" s="197"/>
      <c r="M24" s="197"/>
      <c r="N24" s="232"/>
      <c r="O24" s="197"/>
      <c r="P24" s="197"/>
      <c r="Q24" s="197"/>
      <c r="R24" s="197"/>
      <c r="S24" s="235">
        <f t="shared" si="2"/>
        <v>1.1288066749649914</v>
      </c>
      <c r="T24" s="235"/>
      <c r="U24" s="235">
        <f t="shared" si="4"/>
        <v>1.1288066749649914</v>
      </c>
      <c r="V24" s="236"/>
      <c r="W24" s="236"/>
      <c r="X24" s="177"/>
      <c r="Y24" s="184"/>
      <c r="Z24" s="314"/>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3"/>
      <c r="BW24" s="243"/>
      <c r="BX24" s="243"/>
      <c r="BY24" s="243"/>
      <c r="BZ24" s="243"/>
      <c r="CA24" s="243"/>
      <c r="CB24" s="243"/>
      <c r="CC24" s="243"/>
      <c r="CD24" s="243"/>
      <c r="CE24" s="243"/>
      <c r="CF24" s="243"/>
    </row>
    <row r="25" spans="1:84" s="185" customFormat="1" ht="14.25" customHeight="1">
      <c r="A25" s="431">
        <v>14</v>
      </c>
      <c r="B25" s="433" t="s">
        <v>139</v>
      </c>
      <c r="C25" s="315">
        <f t="shared" si="5"/>
        <v>29738</v>
      </c>
      <c r="D25" s="316">
        <v>200</v>
      </c>
      <c r="E25" s="316">
        <v>29538</v>
      </c>
      <c r="F25" s="316"/>
      <c r="G25" s="316"/>
      <c r="H25" s="316"/>
      <c r="I25" s="232">
        <f t="shared" si="6"/>
        <v>30331.529291</v>
      </c>
      <c r="J25" s="197"/>
      <c r="K25" s="197">
        <f>28853.499291+1478.03</f>
        <v>30331.529291</v>
      </c>
      <c r="L25" s="197"/>
      <c r="M25" s="197"/>
      <c r="N25" s="232"/>
      <c r="O25" s="197"/>
      <c r="P25" s="197"/>
      <c r="Q25" s="197"/>
      <c r="R25" s="197"/>
      <c r="S25" s="235">
        <f t="shared" si="2"/>
        <v>1.0199586149371174</v>
      </c>
      <c r="T25" s="235">
        <f t="shared" si="3"/>
        <v>0</v>
      </c>
      <c r="U25" s="235">
        <f t="shared" si="4"/>
        <v>1.0268646926332181</v>
      </c>
      <c r="V25" s="236"/>
      <c r="W25" s="236"/>
      <c r="X25" s="177"/>
      <c r="Y25" s="184">
        <v>226.71381</v>
      </c>
      <c r="Z25" s="314"/>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3"/>
      <c r="BZ25" s="243"/>
      <c r="CA25" s="243"/>
      <c r="CB25" s="243"/>
      <c r="CC25" s="243"/>
      <c r="CD25" s="243"/>
      <c r="CE25" s="243"/>
      <c r="CF25" s="243"/>
    </row>
    <row r="26" spans="1:84" s="185" customFormat="1" ht="14.25" customHeight="1">
      <c r="A26" s="431">
        <v>15</v>
      </c>
      <c r="B26" s="433" t="s">
        <v>107</v>
      </c>
      <c r="C26" s="315">
        <f t="shared" si="5"/>
        <v>15885</v>
      </c>
      <c r="D26" s="316"/>
      <c r="E26" s="316">
        <v>15885</v>
      </c>
      <c r="F26" s="316"/>
      <c r="G26" s="316"/>
      <c r="H26" s="316"/>
      <c r="I26" s="232">
        <f t="shared" si="6"/>
        <v>18347.974159</v>
      </c>
      <c r="J26" s="197"/>
      <c r="K26" s="197">
        <f>17134.674381+676.360958</f>
        <v>17811.035339000002</v>
      </c>
      <c r="L26" s="197"/>
      <c r="M26" s="197"/>
      <c r="N26" s="232">
        <f>O26+P26</f>
        <v>536.93882</v>
      </c>
      <c r="O26" s="197"/>
      <c r="P26" s="197">
        <v>536.93882</v>
      </c>
      <c r="Q26" s="197"/>
      <c r="R26" s="197"/>
      <c r="S26" s="235">
        <f t="shared" si="2"/>
        <v>1.1550503090336797</v>
      </c>
      <c r="T26" s="235"/>
      <c r="U26" s="235">
        <f t="shared" si="4"/>
        <v>1.1212486836008815</v>
      </c>
      <c r="V26" s="236"/>
      <c r="W26" s="236"/>
      <c r="X26" s="177"/>
      <c r="Y26" s="184"/>
      <c r="Z26" s="314"/>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c r="CC26" s="243"/>
      <c r="CD26" s="243"/>
      <c r="CE26" s="243"/>
      <c r="CF26" s="243"/>
    </row>
    <row r="27" spans="1:84" s="185" customFormat="1" ht="14.25" customHeight="1">
      <c r="A27" s="431">
        <v>16</v>
      </c>
      <c r="B27" s="433" t="s">
        <v>314</v>
      </c>
      <c r="C27" s="315">
        <f t="shared" si="5"/>
        <v>15248</v>
      </c>
      <c r="D27" s="129"/>
      <c r="E27" s="316">
        <v>15248</v>
      </c>
      <c r="F27" s="316"/>
      <c r="G27" s="316"/>
      <c r="H27" s="316"/>
      <c r="I27" s="232">
        <f t="shared" si="6"/>
        <v>65266.510622999995</v>
      </c>
      <c r="J27" s="197">
        <v>49811.066294</v>
      </c>
      <c r="K27" s="197">
        <f>13449.483329+1804.299</f>
        <v>15253.782329000001</v>
      </c>
      <c r="L27" s="197"/>
      <c r="M27" s="197"/>
      <c r="N27" s="232">
        <f>O27+P27</f>
        <v>201.662</v>
      </c>
      <c r="O27" s="197"/>
      <c r="P27" s="197">
        <v>201.662</v>
      </c>
      <c r="Q27" s="197"/>
      <c r="R27" s="197"/>
      <c r="S27" s="235">
        <f t="shared" si="2"/>
        <v>4.280332543481112</v>
      </c>
      <c r="T27" s="235"/>
      <c r="U27" s="235">
        <f t="shared" si="4"/>
        <v>1.0003792188483736</v>
      </c>
      <c r="V27" s="236"/>
      <c r="W27" s="236"/>
      <c r="X27" s="177"/>
      <c r="Y27" s="184">
        <v>8.904602</v>
      </c>
      <c r="Z27" s="314"/>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c r="BV27" s="243"/>
      <c r="BW27" s="243"/>
      <c r="BX27" s="243"/>
      <c r="BY27" s="243"/>
      <c r="BZ27" s="243"/>
      <c r="CA27" s="243"/>
      <c r="CB27" s="243"/>
      <c r="CC27" s="243"/>
      <c r="CD27" s="243"/>
      <c r="CE27" s="243"/>
      <c r="CF27" s="243"/>
    </row>
    <row r="28" spans="1:84" s="185" customFormat="1" ht="14.25" customHeight="1">
      <c r="A28" s="431">
        <v>17</v>
      </c>
      <c r="B28" s="433" t="s">
        <v>316</v>
      </c>
      <c r="C28" s="315">
        <f t="shared" si="5"/>
        <v>81371</v>
      </c>
      <c r="D28" s="129">
        <v>10111</v>
      </c>
      <c r="E28" s="316">
        <v>71260</v>
      </c>
      <c r="F28" s="316"/>
      <c r="G28" s="316"/>
      <c r="H28" s="316"/>
      <c r="I28" s="232">
        <f t="shared" si="6"/>
        <v>101052.54411999999</v>
      </c>
      <c r="J28" s="197">
        <v>9933.486</v>
      </c>
      <c r="K28" s="197">
        <f>85882.18112+1762.606</f>
        <v>87644.78712</v>
      </c>
      <c r="L28" s="197"/>
      <c r="M28" s="197"/>
      <c r="N28" s="232">
        <f>O28+P28</f>
        <v>3474.271</v>
      </c>
      <c r="O28" s="197"/>
      <c r="P28" s="197">
        <v>3474.271</v>
      </c>
      <c r="Q28" s="197"/>
      <c r="R28" s="197"/>
      <c r="S28" s="235">
        <f t="shared" si="2"/>
        <v>1.24187418269408</v>
      </c>
      <c r="T28" s="235">
        <f t="shared" si="3"/>
        <v>0.9824434774008506</v>
      </c>
      <c r="U28" s="235">
        <f t="shared" si="4"/>
        <v>1.2299296536626438</v>
      </c>
      <c r="V28" s="236"/>
      <c r="W28" s="236"/>
      <c r="X28" s="177"/>
      <c r="Y28" s="184"/>
      <c r="Z28" s="314"/>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c r="BU28" s="243"/>
      <c r="BV28" s="243"/>
      <c r="BW28" s="243"/>
      <c r="BX28" s="243"/>
      <c r="BY28" s="243"/>
      <c r="BZ28" s="243"/>
      <c r="CA28" s="243"/>
      <c r="CB28" s="243"/>
      <c r="CC28" s="243"/>
      <c r="CD28" s="243"/>
      <c r="CE28" s="243"/>
      <c r="CF28" s="243"/>
    </row>
    <row r="29" spans="1:84" s="185" customFormat="1" ht="14.25" customHeight="1">
      <c r="A29" s="431">
        <v>18</v>
      </c>
      <c r="B29" s="433" t="s">
        <v>110</v>
      </c>
      <c r="C29" s="315">
        <f t="shared" si="5"/>
        <v>19795</v>
      </c>
      <c r="D29" s="129">
        <v>11870</v>
      </c>
      <c r="E29" s="316">
        <v>7925</v>
      </c>
      <c r="F29" s="316"/>
      <c r="G29" s="316"/>
      <c r="H29" s="316"/>
      <c r="I29" s="232">
        <f t="shared" si="6"/>
        <v>21297.62898</v>
      </c>
      <c r="J29" s="197">
        <v>11075.54358</v>
      </c>
      <c r="K29" s="197">
        <f>10009.5128+212.5726</f>
        <v>10222.0854</v>
      </c>
      <c r="L29" s="197"/>
      <c r="M29" s="197"/>
      <c r="N29" s="232"/>
      <c r="O29" s="197"/>
      <c r="P29" s="197"/>
      <c r="Q29" s="197"/>
      <c r="R29" s="197"/>
      <c r="S29" s="235">
        <f t="shared" si="2"/>
        <v>1.0759095215963628</v>
      </c>
      <c r="T29" s="235">
        <f t="shared" si="3"/>
        <v>0.9330702257792755</v>
      </c>
      <c r="U29" s="235">
        <f t="shared" si="4"/>
        <v>1.289853047318612</v>
      </c>
      <c r="V29" s="236"/>
      <c r="W29" s="236"/>
      <c r="X29" s="177"/>
      <c r="Y29" s="184">
        <v>41.253189</v>
      </c>
      <c r="Z29" s="314"/>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c r="BV29" s="243"/>
      <c r="BW29" s="243"/>
      <c r="BX29" s="243"/>
      <c r="BY29" s="243"/>
      <c r="BZ29" s="243"/>
      <c r="CA29" s="243"/>
      <c r="CB29" s="243"/>
      <c r="CC29" s="243"/>
      <c r="CD29" s="243"/>
      <c r="CE29" s="243"/>
      <c r="CF29" s="243"/>
    </row>
    <row r="30" spans="1:84" s="185" customFormat="1" ht="14.25" customHeight="1">
      <c r="A30" s="431">
        <v>19</v>
      </c>
      <c r="B30" s="433" t="s">
        <v>111</v>
      </c>
      <c r="C30" s="315">
        <f t="shared" si="5"/>
        <v>473281.1609</v>
      </c>
      <c r="D30" s="129">
        <v>100832.1609</v>
      </c>
      <c r="E30" s="316">
        <v>372449</v>
      </c>
      <c r="F30" s="316"/>
      <c r="G30" s="316"/>
      <c r="H30" s="316"/>
      <c r="I30" s="232">
        <f t="shared" si="6"/>
        <v>467077.99079199997</v>
      </c>
      <c r="J30" s="197">
        <v>39172.655267</v>
      </c>
      <c r="K30" s="197">
        <f>409857.308837+2874.332143</f>
        <v>412731.64097999997</v>
      </c>
      <c r="L30" s="197"/>
      <c r="M30" s="197"/>
      <c r="N30" s="232">
        <f>O30+P30</f>
        <v>15173.694545</v>
      </c>
      <c r="O30" s="197">
        <v>8202.848607</v>
      </c>
      <c r="P30" s="197">
        <v>6970.845938</v>
      </c>
      <c r="Q30" s="197"/>
      <c r="R30" s="197"/>
      <c r="S30" s="235">
        <f t="shared" si="2"/>
        <v>0.9868932663700284</v>
      </c>
      <c r="T30" s="235">
        <f t="shared" si="3"/>
        <v>0.38849366032975696</v>
      </c>
      <c r="U30" s="235">
        <f t="shared" si="4"/>
        <v>1.1081561260199382</v>
      </c>
      <c r="V30" s="236"/>
      <c r="W30" s="236"/>
      <c r="X30" s="177"/>
      <c r="Y30" s="184">
        <f>19157.768003+18.45049</f>
        <v>19176.218493</v>
      </c>
      <c r="Z30" s="314"/>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c r="BV30" s="243"/>
      <c r="BW30" s="243"/>
      <c r="BX30" s="243"/>
      <c r="BY30" s="243"/>
      <c r="BZ30" s="243"/>
      <c r="CA30" s="243"/>
      <c r="CB30" s="243"/>
      <c r="CC30" s="243"/>
      <c r="CD30" s="243"/>
      <c r="CE30" s="243"/>
      <c r="CF30" s="243"/>
    </row>
    <row r="31" spans="1:84" s="185" customFormat="1" ht="14.25" customHeight="1">
      <c r="A31" s="431">
        <v>20</v>
      </c>
      <c r="B31" s="433" t="s">
        <v>246</v>
      </c>
      <c r="C31" s="315">
        <f t="shared" si="5"/>
        <v>16556</v>
      </c>
      <c r="D31" s="129">
        <v>11067</v>
      </c>
      <c r="E31" s="316">
        <v>5489</v>
      </c>
      <c r="F31" s="316"/>
      <c r="G31" s="316"/>
      <c r="H31" s="316"/>
      <c r="I31" s="232">
        <f t="shared" si="6"/>
        <v>16200.073146</v>
      </c>
      <c r="J31" s="197">
        <v>9443.607026</v>
      </c>
      <c r="K31" s="197">
        <v>5671.81112</v>
      </c>
      <c r="L31" s="197"/>
      <c r="M31" s="197"/>
      <c r="N31" s="232">
        <f>O31+P31</f>
        <v>1084.655</v>
      </c>
      <c r="O31" s="197"/>
      <c r="P31" s="197">
        <v>1084.655</v>
      </c>
      <c r="Q31" s="197"/>
      <c r="R31" s="197"/>
      <c r="S31" s="235">
        <f t="shared" si="2"/>
        <v>0.9785016396472578</v>
      </c>
      <c r="T31" s="235">
        <f t="shared" si="3"/>
        <v>0.8533122820999367</v>
      </c>
      <c r="U31" s="235">
        <f t="shared" si="4"/>
        <v>1.0333049954454363</v>
      </c>
      <c r="V31" s="236"/>
      <c r="W31" s="236"/>
      <c r="X31" s="177"/>
      <c r="Y31" s="184"/>
      <c r="Z31" s="314"/>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s="243"/>
      <c r="BX31" s="243"/>
      <c r="BY31" s="243"/>
      <c r="BZ31" s="243"/>
      <c r="CA31" s="243"/>
      <c r="CB31" s="243"/>
      <c r="CC31" s="243"/>
      <c r="CD31" s="243"/>
      <c r="CE31" s="243"/>
      <c r="CF31" s="243"/>
    </row>
    <row r="32" spans="1:84" s="185" customFormat="1" ht="14.25" customHeight="1">
      <c r="A32" s="431">
        <v>21</v>
      </c>
      <c r="B32" s="433" t="s">
        <v>326</v>
      </c>
      <c r="C32" s="315">
        <f t="shared" si="5"/>
        <v>35666</v>
      </c>
      <c r="D32" s="316">
        <v>9200</v>
      </c>
      <c r="E32" s="316">
        <v>26466</v>
      </c>
      <c r="F32" s="316"/>
      <c r="G32" s="316"/>
      <c r="H32" s="316"/>
      <c r="I32" s="232">
        <f t="shared" si="6"/>
        <v>36209.124656</v>
      </c>
      <c r="J32" s="197">
        <v>9116.970656</v>
      </c>
      <c r="K32" s="197">
        <v>27092.154</v>
      </c>
      <c r="L32" s="197"/>
      <c r="M32" s="197"/>
      <c r="N32" s="232"/>
      <c r="O32" s="197"/>
      <c r="P32" s="197"/>
      <c r="Q32" s="197"/>
      <c r="R32" s="197"/>
      <c r="S32" s="235">
        <f t="shared" si="2"/>
        <v>1.0152280787304435</v>
      </c>
      <c r="T32" s="235">
        <f t="shared" si="3"/>
        <v>0.9909750713043478</v>
      </c>
      <c r="U32" s="235">
        <f t="shared" si="4"/>
        <v>1.023658807526638</v>
      </c>
      <c r="V32" s="236"/>
      <c r="W32" s="236"/>
      <c r="X32" s="177"/>
      <c r="Y32" s="184">
        <v>0.692</v>
      </c>
      <c r="Z32" s="314"/>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c r="BV32" s="243"/>
      <c r="BW32" s="243"/>
      <c r="BX32" s="243"/>
      <c r="BY32" s="243"/>
      <c r="BZ32" s="243"/>
      <c r="CA32" s="243"/>
      <c r="CB32" s="243"/>
      <c r="CC32" s="243"/>
      <c r="CD32" s="243"/>
      <c r="CE32" s="243"/>
      <c r="CF32" s="243"/>
    </row>
    <row r="33" spans="1:84" s="185" customFormat="1" ht="14.25" customHeight="1">
      <c r="A33" s="431">
        <v>22</v>
      </c>
      <c r="B33" s="433" t="s">
        <v>233</v>
      </c>
      <c r="C33" s="315">
        <f t="shared" si="5"/>
        <v>6868</v>
      </c>
      <c r="D33" s="316"/>
      <c r="E33" s="316">
        <v>6868</v>
      </c>
      <c r="F33" s="316"/>
      <c r="G33" s="316"/>
      <c r="H33" s="316"/>
      <c r="I33" s="232">
        <f t="shared" si="6"/>
        <v>7796.879</v>
      </c>
      <c r="J33" s="197"/>
      <c r="K33" s="197">
        <v>7796.879</v>
      </c>
      <c r="L33" s="197"/>
      <c r="M33" s="197"/>
      <c r="N33" s="232"/>
      <c r="O33" s="197"/>
      <c r="P33" s="197"/>
      <c r="Q33" s="197"/>
      <c r="R33" s="197"/>
      <c r="S33" s="235">
        <f t="shared" si="2"/>
        <v>1.1352473791496798</v>
      </c>
      <c r="T33" s="235"/>
      <c r="U33" s="235">
        <f t="shared" si="4"/>
        <v>1.1352473791496798</v>
      </c>
      <c r="V33" s="236"/>
      <c r="W33" s="236"/>
      <c r="X33" s="177"/>
      <c r="Y33" s="184">
        <v>54.42323</v>
      </c>
      <c r="Z33" s="314"/>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S33" s="243"/>
      <c r="BT33" s="243"/>
      <c r="BU33" s="243"/>
      <c r="BV33" s="243"/>
      <c r="BW33" s="243"/>
      <c r="BX33" s="243"/>
      <c r="BY33" s="243"/>
      <c r="BZ33" s="243"/>
      <c r="CA33" s="243"/>
      <c r="CB33" s="243"/>
      <c r="CC33" s="243"/>
      <c r="CD33" s="243"/>
      <c r="CE33" s="243"/>
      <c r="CF33" s="243"/>
    </row>
    <row r="34" spans="1:84" s="185" customFormat="1" ht="14.25" customHeight="1">
      <c r="A34" s="431">
        <v>23</v>
      </c>
      <c r="B34" s="433" t="s">
        <v>250</v>
      </c>
      <c r="C34" s="315">
        <f t="shared" si="5"/>
        <v>15570</v>
      </c>
      <c r="D34" s="316"/>
      <c r="E34" s="316">
        <v>15570</v>
      </c>
      <c r="F34" s="316"/>
      <c r="G34" s="316"/>
      <c r="H34" s="316"/>
      <c r="I34" s="232">
        <f t="shared" si="6"/>
        <v>15347.688725</v>
      </c>
      <c r="J34" s="197"/>
      <c r="K34" s="197">
        <f>9248.871725+6098.817</f>
        <v>15347.688725</v>
      </c>
      <c r="L34" s="197"/>
      <c r="M34" s="197"/>
      <c r="N34" s="232"/>
      <c r="O34" s="197"/>
      <c r="P34" s="197"/>
      <c r="Q34" s="197"/>
      <c r="R34" s="197"/>
      <c r="S34" s="235">
        <f t="shared" si="2"/>
        <v>0.9857218192035967</v>
      </c>
      <c r="T34" s="235"/>
      <c r="U34" s="235">
        <f t="shared" si="4"/>
        <v>0.9857218192035967</v>
      </c>
      <c r="V34" s="236"/>
      <c r="W34" s="236"/>
      <c r="X34" s="177"/>
      <c r="Y34" s="184">
        <v>30.993</v>
      </c>
      <c r="Z34" s="314"/>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S34" s="243"/>
      <c r="BT34" s="243"/>
      <c r="BU34" s="243"/>
      <c r="BV34" s="243"/>
      <c r="BW34" s="243"/>
      <c r="BX34" s="243"/>
      <c r="BY34" s="243"/>
      <c r="BZ34" s="243"/>
      <c r="CA34" s="243"/>
      <c r="CB34" s="243"/>
      <c r="CC34" s="243"/>
      <c r="CD34" s="243"/>
      <c r="CE34" s="243"/>
      <c r="CF34" s="243"/>
    </row>
    <row r="35" spans="1:84" s="185" customFormat="1" ht="14.25" customHeight="1">
      <c r="A35" s="431">
        <v>24</v>
      </c>
      <c r="B35" s="433" t="s">
        <v>321</v>
      </c>
      <c r="C35" s="315">
        <f t="shared" si="5"/>
        <v>26615</v>
      </c>
      <c r="D35" s="129">
        <v>4200</v>
      </c>
      <c r="E35" s="316">
        <v>22415</v>
      </c>
      <c r="F35" s="316"/>
      <c r="G35" s="316"/>
      <c r="H35" s="316"/>
      <c r="I35" s="232">
        <f t="shared" si="6"/>
        <v>61918.51343399999</v>
      </c>
      <c r="J35" s="197">
        <v>4199.99698</v>
      </c>
      <c r="K35" s="197">
        <f>36453.662458+976.539</f>
        <v>37430.201457999996</v>
      </c>
      <c r="L35" s="197"/>
      <c r="M35" s="197"/>
      <c r="N35" s="232">
        <f>O35+P35</f>
        <v>20288.314996</v>
      </c>
      <c r="O35" s="197">
        <v>18052.412996</v>
      </c>
      <c r="P35" s="197">
        <v>2235.902</v>
      </c>
      <c r="Q35" s="197"/>
      <c r="R35" s="197"/>
      <c r="S35" s="235">
        <f t="shared" si="2"/>
        <v>2.3264517540484686</v>
      </c>
      <c r="T35" s="235">
        <f t="shared" si="3"/>
        <v>0.9999992809523809</v>
      </c>
      <c r="U35" s="235">
        <f t="shared" si="4"/>
        <v>1.6698729180459513</v>
      </c>
      <c r="V35" s="236"/>
      <c r="W35" s="236"/>
      <c r="X35" s="177"/>
      <c r="Y35" s="184">
        <v>10998</v>
      </c>
      <c r="Z35" s="314"/>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row>
    <row r="36" spans="1:84" s="185" customFormat="1" ht="14.25" customHeight="1">
      <c r="A36" s="431">
        <v>25</v>
      </c>
      <c r="B36" s="433" t="s">
        <v>318</v>
      </c>
      <c r="C36" s="315">
        <f t="shared" si="5"/>
        <v>34895</v>
      </c>
      <c r="D36" s="316">
        <v>2800</v>
      </c>
      <c r="E36" s="316">
        <v>32095</v>
      </c>
      <c r="F36" s="316"/>
      <c r="G36" s="316"/>
      <c r="H36" s="316"/>
      <c r="I36" s="232">
        <f t="shared" si="6"/>
        <v>48874.16957699999</v>
      </c>
      <c r="J36" s="197">
        <v>2800</v>
      </c>
      <c r="K36" s="197">
        <f>37543.930077+1964.793</f>
        <v>39508.723076999995</v>
      </c>
      <c r="L36" s="197"/>
      <c r="M36" s="197"/>
      <c r="N36" s="232">
        <f>O36+P36</f>
        <v>6565.4465</v>
      </c>
      <c r="O36" s="197">
        <v>4804</v>
      </c>
      <c r="P36" s="197">
        <v>1761.4465</v>
      </c>
      <c r="Q36" s="197"/>
      <c r="R36" s="197"/>
      <c r="S36" s="235">
        <f t="shared" si="2"/>
        <v>1.4006066650522995</v>
      </c>
      <c r="T36" s="235">
        <f t="shared" si="3"/>
        <v>1</v>
      </c>
      <c r="U36" s="235">
        <f t="shared" si="4"/>
        <v>1.230993085433868</v>
      </c>
      <c r="V36" s="236"/>
      <c r="W36" s="236"/>
      <c r="X36" s="177"/>
      <c r="Y36" s="184">
        <v>6010.615</v>
      </c>
      <c r="Z36" s="314"/>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row>
    <row r="37" spans="1:84" s="185" customFormat="1" ht="14.25" customHeight="1">
      <c r="A37" s="431">
        <v>26</v>
      </c>
      <c r="B37" s="433" t="s">
        <v>319</v>
      </c>
      <c r="C37" s="315">
        <f t="shared" si="5"/>
        <v>3700</v>
      </c>
      <c r="D37" s="316"/>
      <c r="E37" s="316">
        <v>3700</v>
      </c>
      <c r="F37" s="316"/>
      <c r="G37" s="316"/>
      <c r="H37" s="316"/>
      <c r="I37" s="232">
        <f t="shared" si="6"/>
        <v>5378.263974</v>
      </c>
      <c r="J37" s="197"/>
      <c r="K37" s="197">
        <v>5308.263974</v>
      </c>
      <c r="L37" s="197"/>
      <c r="M37" s="197"/>
      <c r="N37" s="232">
        <f>O37+P37</f>
        <v>70</v>
      </c>
      <c r="O37" s="197"/>
      <c r="P37" s="197">
        <v>70</v>
      </c>
      <c r="Q37" s="197"/>
      <c r="R37" s="197"/>
      <c r="S37" s="235">
        <f t="shared" si="2"/>
        <v>1.4535848578378379</v>
      </c>
      <c r="T37" s="235"/>
      <c r="U37" s="235">
        <f t="shared" si="4"/>
        <v>1.4346659389189191</v>
      </c>
      <c r="V37" s="236"/>
      <c r="W37" s="236"/>
      <c r="X37" s="177"/>
      <c r="Y37" s="184"/>
      <c r="Z37" s="314"/>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c r="BR37" s="243"/>
      <c r="BS37" s="243"/>
      <c r="BT37" s="243"/>
      <c r="BU37" s="243"/>
      <c r="BV37" s="243"/>
      <c r="BW37" s="243"/>
      <c r="BX37" s="243"/>
      <c r="BY37" s="243"/>
      <c r="BZ37" s="243"/>
      <c r="CA37" s="243"/>
      <c r="CB37" s="243"/>
      <c r="CC37" s="243"/>
      <c r="CD37" s="243"/>
      <c r="CE37" s="243"/>
      <c r="CF37" s="243"/>
    </row>
    <row r="38" spans="1:84" s="185" customFormat="1" ht="14.25" customHeight="1">
      <c r="A38" s="431">
        <v>27</v>
      </c>
      <c r="B38" s="433" t="s">
        <v>320</v>
      </c>
      <c r="C38" s="315">
        <f t="shared" si="5"/>
        <v>5596</v>
      </c>
      <c r="D38" s="316"/>
      <c r="E38" s="316">
        <v>5596</v>
      </c>
      <c r="F38" s="316"/>
      <c r="G38" s="316"/>
      <c r="H38" s="316"/>
      <c r="I38" s="232">
        <f t="shared" si="6"/>
        <v>6220</v>
      </c>
      <c r="J38" s="197"/>
      <c r="K38" s="197">
        <v>6220</v>
      </c>
      <c r="L38" s="197"/>
      <c r="M38" s="197"/>
      <c r="N38" s="232"/>
      <c r="O38" s="197"/>
      <c r="P38" s="197"/>
      <c r="Q38" s="197"/>
      <c r="R38" s="197"/>
      <c r="S38" s="235">
        <f t="shared" si="2"/>
        <v>1.1115082201572553</v>
      </c>
      <c r="T38" s="235"/>
      <c r="U38" s="235">
        <f t="shared" si="4"/>
        <v>1.1115082201572553</v>
      </c>
      <c r="V38" s="236"/>
      <c r="W38" s="236"/>
      <c r="X38" s="177"/>
      <c r="Y38" s="184">
        <v>128</v>
      </c>
      <c r="Z38" s="314"/>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c r="BR38" s="243"/>
      <c r="BS38" s="243"/>
      <c r="BT38" s="243"/>
      <c r="BU38" s="243"/>
      <c r="BV38" s="243"/>
      <c r="BW38" s="243"/>
      <c r="BX38" s="243"/>
      <c r="BY38" s="243"/>
      <c r="BZ38" s="243"/>
      <c r="CA38" s="243"/>
      <c r="CB38" s="243"/>
      <c r="CC38" s="243"/>
      <c r="CD38" s="243"/>
      <c r="CE38" s="243"/>
      <c r="CF38" s="243"/>
    </row>
    <row r="39" spans="1:84" s="185" customFormat="1" ht="14.25" customHeight="1">
      <c r="A39" s="431">
        <v>28</v>
      </c>
      <c r="B39" s="433" t="s">
        <v>251</v>
      </c>
      <c r="C39" s="315">
        <f t="shared" si="5"/>
        <v>12782</v>
      </c>
      <c r="D39" s="316">
        <v>5000</v>
      </c>
      <c r="E39" s="316">
        <v>7782</v>
      </c>
      <c r="F39" s="316"/>
      <c r="G39" s="316"/>
      <c r="H39" s="316"/>
      <c r="I39" s="232">
        <f t="shared" si="6"/>
        <v>13213.02</v>
      </c>
      <c r="J39" s="197">
        <v>4937</v>
      </c>
      <c r="K39" s="197">
        <v>8206.02</v>
      </c>
      <c r="L39" s="197"/>
      <c r="M39" s="197"/>
      <c r="N39" s="232">
        <f>O39+P39</f>
        <v>70</v>
      </c>
      <c r="O39" s="197"/>
      <c r="P39" s="197">
        <v>70</v>
      </c>
      <c r="Q39" s="197"/>
      <c r="R39" s="197"/>
      <c r="S39" s="235">
        <f t="shared" si="2"/>
        <v>1.0337208574557972</v>
      </c>
      <c r="T39" s="235">
        <f t="shared" si="3"/>
        <v>0.9874</v>
      </c>
      <c r="U39" s="235">
        <f t="shared" si="4"/>
        <v>1.0544872783346184</v>
      </c>
      <c r="V39" s="236"/>
      <c r="W39" s="236"/>
      <c r="X39" s="177"/>
      <c r="Y39" s="184"/>
      <c r="Z39" s="314"/>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3"/>
      <c r="BS39" s="243"/>
      <c r="BT39" s="243"/>
      <c r="BU39" s="243"/>
      <c r="BV39" s="243"/>
      <c r="BW39" s="243"/>
      <c r="BX39" s="243"/>
      <c r="BY39" s="243"/>
      <c r="BZ39" s="243"/>
      <c r="CA39" s="243"/>
      <c r="CB39" s="243"/>
      <c r="CC39" s="243"/>
      <c r="CD39" s="243"/>
      <c r="CE39" s="243"/>
      <c r="CF39" s="243"/>
    </row>
    <row r="40" spans="1:84" s="185" customFormat="1" ht="14.25" customHeight="1">
      <c r="A40" s="431">
        <v>29</v>
      </c>
      <c r="B40" s="433" t="s">
        <v>317</v>
      </c>
      <c r="C40" s="315">
        <f t="shared" si="5"/>
        <v>5684</v>
      </c>
      <c r="D40" s="316"/>
      <c r="E40" s="316">
        <v>5684</v>
      </c>
      <c r="F40" s="316"/>
      <c r="G40" s="316"/>
      <c r="H40" s="316"/>
      <c r="I40" s="232">
        <f t="shared" si="6"/>
        <v>7576.776792</v>
      </c>
      <c r="J40" s="197"/>
      <c r="K40" s="197">
        <v>7506.776792</v>
      </c>
      <c r="L40" s="197"/>
      <c r="M40" s="197"/>
      <c r="N40" s="232">
        <f>O40+P40</f>
        <v>70</v>
      </c>
      <c r="O40" s="197"/>
      <c r="P40" s="197">
        <v>70</v>
      </c>
      <c r="Q40" s="197"/>
      <c r="R40" s="197"/>
      <c r="S40" s="235">
        <f t="shared" si="2"/>
        <v>1.3330008430682618</v>
      </c>
      <c r="T40" s="235"/>
      <c r="U40" s="235">
        <f t="shared" si="4"/>
        <v>1.3206855721323012</v>
      </c>
      <c r="V40" s="236"/>
      <c r="W40" s="236"/>
      <c r="X40" s="177"/>
      <c r="Y40" s="184"/>
      <c r="Z40" s="314"/>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c r="BV40" s="243"/>
      <c r="BW40" s="243"/>
      <c r="BX40" s="243"/>
      <c r="BY40" s="243"/>
      <c r="BZ40" s="243"/>
      <c r="CA40" s="243"/>
      <c r="CB40" s="243"/>
      <c r="CC40" s="243"/>
      <c r="CD40" s="243"/>
      <c r="CE40" s="243"/>
      <c r="CF40" s="243"/>
    </row>
    <row r="41" spans="1:84" s="185" customFormat="1" ht="14.25" customHeight="1">
      <c r="A41" s="431">
        <v>30</v>
      </c>
      <c r="B41" s="433" t="s">
        <v>235</v>
      </c>
      <c r="C41" s="315">
        <f t="shared" si="5"/>
        <v>10182</v>
      </c>
      <c r="D41" s="316"/>
      <c r="E41" s="316">
        <v>10182</v>
      </c>
      <c r="F41" s="316"/>
      <c r="G41" s="316"/>
      <c r="H41" s="316"/>
      <c r="I41" s="232">
        <f t="shared" si="6"/>
        <v>10420.872808</v>
      </c>
      <c r="J41" s="197"/>
      <c r="K41" s="197">
        <f>7350.872808+3000</f>
        <v>10350.872808</v>
      </c>
      <c r="L41" s="197"/>
      <c r="M41" s="197"/>
      <c r="N41" s="232">
        <f>O41+P41</f>
        <v>70</v>
      </c>
      <c r="O41" s="197"/>
      <c r="P41" s="197">
        <v>70</v>
      </c>
      <c r="Q41" s="197"/>
      <c r="R41" s="197"/>
      <c r="S41" s="235">
        <f t="shared" si="2"/>
        <v>1.0234603032802985</v>
      </c>
      <c r="T41" s="235"/>
      <c r="U41" s="235">
        <f t="shared" si="4"/>
        <v>1.0165854260459635</v>
      </c>
      <c r="V41" s="236"/>
      <c r="W41" s="236"/>
      <c r="X41" s="177"/>
      <c r="Y41" s="184"/>
      <c r="Z41" s="314"/>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c r="BV41" s="243"/>
      <c r="BW41" s="243"/>
      <c r="BX41" s="243"/>
      <c r="BY41" s="243"/>
      <c r="BZ41" s="243"/>
      <c r="CA41" s="243"/>
      <c r="CB41" s="243"/>
      <c r="CC41" s="243"/>
      <c r="CD41" s="243"/>
      <c r="CE41" s="243"/>
      <c r="CF41" s="243"/>
    </row>
    <row r="42" spans="1:84" s="185" customFormat="1" ht="14.25" customHeight="1">
      <c r="A42" s="431">
        <v>31</v>
      </c>
      <c r="B42" s="433" t="s">
        <v>35</v>
      </c>
      <c r="C42" s="315">
        <f aca="true" t="shared" si="7" ref="C42:C73">SUM(D42:G42,H42)</f>
        <v>28471</v>
      </c>
      <c r="D42" s="129">
        <v>4000</v>
      </c>
      <c r="E42" s="316">
        <v>24471</v>
      </c>
      <c r="F42" s="316"/>
      <c r="G42" s="316"/>
      <c r="H42" s="316"/>
      <c r="I42" s="232">
        <f t="shared" si="6"/>
        <v>34782.605209</v>
      </c>
      <c r="J42" s="197">
        <v>2377.845209</v>
      </c>
      <c r="K42" s="197">
        <f>2250+30154.76-70</f>
        <v>32334.76</v>
      </c>
      <c r="L42" s="197"/>
      <c r="M42" s="197"/>
      <c r="N42" s="232">
        <f>O42+P42</f>
        <v>70</v>
      </c>
      <c r="O42" s="197"/>
      <c r="P42" s="197">
        <v>70</v>
      </c>
      <c r="Q42" s="197"/>
      <c r="R42" s="197"/>
      <c r="S42" s="235">
        <f t="shared" si="2"/>
        <v>1.221685406518914</v>
      </c>
      <c r="T42" s="235">
        <f t="shared" si="3"/>
        <v>0.59446130225</v>
      </c>
      <c r="U42" s="235">
        <f t="shared" si="4"/>
        <v>1.3213501695884924</v>
      </c>
      <c r="V42" s="236"/>
      <c r="W42" s="236"/>
      <c r="X42" s="177"/>
      <c r="Y42" s="184">
        <v>612.08</v>
      </c>
      <c r="Z42" s="314"/>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row>
    <row r="43" spans="1:84" s="185" customFormat="1" ht="14.25" customHeight="1">
      <c r="A43" s="431">
        <v>32</v>
      </c>
      <c r="B43" s="433" t="s">
        <v>301</v>
      </c>
      <c r="C43" s="315">
        <f t="shared" si="7"/>
        <v>48784</v>
      </c>
      <c r="D43" s="129">
        <v>22314</v>
      </c>
      <c r="E43" s="316">
        <v>26470</v>
      </c>
      <c r="F43" s="316"/>
      <c r="G43" s="316"/>
      <c r="H43" s="316"/>
      <c r="I43" s="232">
        <f t="shared" si="6"/>
        <v>38605.222</v>
      </c>
      <c r="J43" s="197">
        <v>7530.9</v>
      </c>
      <c r="K43" s="197">
        <f>15724.322+15350</f>
        <v>31074.322</v>
      </c>
      <c r="L43" s="197"/>
      <c r="M43" s="197"/>
      <c r="N43" s="232"/>
      <c r="O43" s="197"/>
      <c r="P43" s="197"/>
      <c r="Q43" s="197"/>
      <c r="R43" s="197"/>
      <c r="S43" s="235">
        <f t="shared" si="2"/>
        <v>0.7913500737946868</v>
      </c>
      <c r="T43" s="235">
        <f t="shared" si="3"/>
        <v>0.33749663888141973</v>
      </c>
      <c r="U43" s="235">
        <f t="shared" si="4"/>
        <v>1.1739449187759727</v>
      </c>
      <c r="V43" s="236"/>
      <c r="W43" s="236"/>
      <c r="X43" s="177"/>
      <c r="Y43" s="184">
        <v>606.995</v>
      </c>
      <c r="Z43" s="314"/>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row>
    <row r="44" spans="1:84" s="185" customFormat="1" ht="14.25" customHeight="1">
      <c r="A44" s="431">
        <v>33</v>
      </c>
      <c r="B44" s="433" t="s">
        <v>299</v>
      </c>
      <c r="C44" s="315">
        <f t="shared" si="7"/>
        <v>103976.6658</v>
      </c>
      <c r="D44" s="129">
        <v>27670.6658</v>
      </c>
      <c r="E44" s="316">
        <v>76306</v>
      </c>
      <c r="F44" s="316"/>
      <c r="G44" s="316"/>
      <c r="H44" s="316"/>
      <c r="I44" s="232">
        <f t="shared" si="6"/>
        <v>128152.0845</v>
      </c>
      <c r="J44" s="197">
        <v>46608.975</v>
      </c>
      <c r="K44" s="197">
        <f>64571.9+16971.2095</f>
        <v>81543.1095</v>
      </c>
      <c r="L44" s="197"/>
      <c r="M44" s="197"/>
      <c r="N44" s="232"/>
      <c r="O44" s="197"/>
      <c r="P44" s="197"/>
      <c r="Q44" s="197"/>
      <c r="R44" s="197"/>
      <c r="S44" s="235">
        <f t="shared" si="2"/>
        <v>1.232508116258523</v>
      </c>
      <c r="T44" s="235">
        <f t="shared" si="3"/>
        <v>1.6844182694006589</v>
      </c>
      <c r="U44" s="235">
        <f t="shared" si="4"/>
        <v>1.0686329974051845</v>
      </c>
      <c r="V44" s="236"/>
      <c r="W44" s="236"/>
      <c r="X44" s="177"/>
      <c r="Y44" s="184">
        <f>240.9+3295.8875</f>
        <v>3536.7875</v>
      </c>
      <c r="Z44" s="314"/>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c r="BV44" s="243"/>
      <c r="BW44" s="243"/>
      <c r="BX44" s="243"/>
      <c r="BY44" s="243"/>
      <c r="BZ44" s="243"/>
      <c r="CA44" s="243"/>
      <c r="CB44" s="243"/>
      <c r="CC44" s="243"/>
      <c r="CD44" s="243"/>
      <c r="CE44" s="243"/>
      <c r="CF44" s="243"/>
    </row>
    <row r="45" spans="1:84" s="185" customFormat="1" ht="14.25" customHeight="1">
      <c r="A45" s="431">
        <v>34</v>
      </c>
      <c r="B45" s="433" t="s">
        <v>138</v>
      </c>
      <c r="C45" s="315">
        <f t="shared" si="7"/>
        <v>105</v>
      </c>
      <c r="D45" s="316"/>
      <c r="E45" s="316">
        <v>105</v>
      </c>
      <c r="F45" s="316"/>
      <c r="G45" s="316"/>
      <c r="H45" s="316"/>
      <c r="I45" s="232">
        <f t="shared" si="6"/>
        <v>105</v>
      </c>
      <c r="J45" s="197"/>
      <c r="K45" s="197">
        <v>105</v>
      </c>
      <c r="L45" s="197"/>
      <c r="M45" s="197"/>
      <c r="N45" s="232"/>
      <c r="O45" s="197"/>
      <c r="P45" s="197"/>
      <c r="Q45" s="197"/>
      <c r="R45" s="197"/>
      <c r="S45" s="235">
        <f t="shared" si="2"/>
        <v>1</v>
      </c>
      <c r="T45" s="235"/>
      <c r="U45" s="235">
        <f t="shared" si="4"/>
        <v>1</v>
      </c>
      <c r="V45" s="236"/>
      <c r="W45" s="236"/>
      <c r="X45" s="177"/>
      <c r="Y45" s="184"/>
      <c r="Z45" s="314"/>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c r="BY45" s="243"/>
      <c r="BZ45" s="243"/>
      <c r="CA45" s="243"/>
      <c r="CB45" s="243"/>
      <c r="CC45" s="243"/>
      <c r="CD45" s="243"/>
      <c r="CE45" s="243"/>
      <c r="CF45" s="243"/>
    </row>
    <row r="46" spans="1:84" s="185" customFormat="1" ht="14.25" customHeight="1">
      <c r="A46" s="431">
        <v>35</v>
      </c>
      <c r="B46" s="433" t="s">
        <v>312</v>
      </c>
      <c r="C46" s="315">
        <f t="shared" si="7"/>
        <v>159</v>
      </c>
      <c r="D46" s="129"/>
      <c r="E46" s="316">
        <v>159</v>
      </c>
      <c r="F46" s="316"/>
      <c r="G46" s="316"/>
      <c r="H46" s="316"/>
      <c r="I46" s="232">
        <f t="shared" si="6"/>
        <v>36328.42</v>
      </c>
      <c r="J46" s="197">
        <v>36169.42</v>
      </c>
      <c r="K46" s="197">
        <v>159</v>
      </c>
      <c r="L46" s="197"/>
      <c r="M46" s="197"/>
      <c r="N46" s="232"/>
      <c r="O46" s="197"/>
      <c r="P46" s="197"/>
      <c r="Q46" s="197"/>
      <c r="R46" s="197"/>
      <c r="S46" s="235">
        <f t="shared" si="2"/>
        <v>228.4806289308176</v>
      </c>
      <c r="T46" s="235"/>
      <c r="U46" s="235">
        <f t="shared" si="4"/>
        <v>1</v>
      </c>
      <c r="V46" s="236"/>
      <c r="W46" s="236"/>
      <c r="X46" s="177"/>
      <c r="Y46" s="184"/>
      <c r="Z46" s="314"/>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row>
    <row r="47" spans="1:84" s="185" customFormat="1" ht="14.25" customHeight="1">
      <c r="A47" s="431">
        <v>36</v>
      </c>
      <c r="B47" s="433" t="s">
        <v>33</v>
      </c>
      <c r="C47" s="315">
        <f t="shared" si="7"/>
        <v>500</v>
      </c>
      <c r="D47" s="129"/>
      <c r="E47" s="316">
        <v>500</v>
      </c>
      <c r="F47" s="316"/>
      <c r="G47" s="316"/>
      <c r="H47" s="316"/>
      <c r="I47" s="232">
        <f t="shared" si="6"/>
        <v>499.664</v>
      </c>
      <c r="J47" s="197"/>
      <c r="K47" s="197">
        <v>499.664</v>
      </c>
      <c r="L47" s="197"/>
      <c r="M47" s="197"/>
      <c r="N47" s="232"/>
      <c r="O47" s="197"/>
      <c r="P47" s="197"/>
      <c r="Q47" s="197"/>
      <c r="R47" s="197"/>
      <c r="S47" s="235">
        <f t="shared" si="2"/>
        <v>0.999328</v>
      </c>
      <c r="T47" s="235"/>
      <c r="U47" s="235">
        <f t="shared" si="4"/>
        <v>0.999328</v>
      </c>
      <c r="V47" s="236"/>
      <c r="W47" s="236"/>
      <c r="X47" s="177"/>
      <c r="Y47" s="184"/>
      <c r="Z47" s="314"/>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c r="CF47" s="243"/>
    </row>
    <row r="48" spans="1:84" s="185" customFormat="1" ht="14.25" customHeight="1">
      <c r="A48" s="431">
        <v>37</v>
      </c>
      <c r="B48" s="433" t="s">
        <v>186</v>
      </c>
      <c r="C48" s="315">
        <f t="shared" si="7"/>
        <v>408780</v>
      </c>
      <c r="D48" s="316"/>
      <c r="E48" s="316">
        <v>408780</v>
      </c>
      <c r="F48" s="316"/>
      <c r="G48" s="316"/>
      <c r="H48" s="316"/>
      <c r="I48" s="232">
        <f t="shared" si="6"/>
        <v>423929.710683</v>
      </c>
      <c r="J48" s="197"/>
      <c r="K48" s="197">
        <v>423929.710683</v>
      </c>
      <c r="L48" s="197"/>
      <c r="M48" s="197"/>
      <c r="N48" s="232"/>
      <c r="O48" s="197"/>
      <c r="P48" s="197"/>
      <c r="Q48" s="197"/>
      <c r="R48" s="197"/>
      <c r="S48" s="235">
        <f t="shared" si="2"/>
        <v>1.0370607923161603</v>
      </c>
      <c r="T48" s="235"/>
      <c r="U48" s="235">
        <f t="shared" si="4"/>
        <v>1.0370607923161603</v>
      </c>
      <c r="V48" s="236"/>
      <c r="W48" s="236"/>
      <c r="X48" s="177"/>
      <c r="Y48" s="184"/>
      <c r="Z48" s="314"/>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3"/>
      <c r="CF48" s="243"/>
    </row>
    <row r="49" spans="1:84" s="185" customFormat="1" ht="14.25" customHeight="1">
      <c r="A49" s="431">
        <v>38</v>
      </c>
      <c r="B49" s="433" t="s">
        <v>294</v>
      </c>
      <c r="C49" s="315">
        <f t="shared" si="7"/>
        <v>4000</v>
      </c>
      <c r="D49" s="316"/>
      <c r="E49" s="316">
        <v>4000</v>
      </c>
      <c r="F49" s="316"/>
      <c r="G49" s="316"/>
      <c r="H49" s="316"/>
      <c r="I49" s="232">
        <f t="shared" si="6"/>
        <v>4000</v>
      </c>
      <c r="J49" s="197"/>
      <c r="K49" s="197">
        <v>4000</v>
      </c>
      <c r="L49" s="197"/>
      <c r="M49" s="197"/>
      <c r="N49" s="232"/>
      <c r="O49" s="197"/>
      <c r="P49" s="197"/>
      <c r="Q49" s="197"/>
      <c r="R49" s="197"/>
      <c r="S49" s="235">
        <f t="shared" si="2"/>
        <v>1</v>
      </c>
      <c r="T49" s="235"/>
      <c r="U49" s="235">
        <f t="shared" si="4"/>
        <v>1</v>
      </c>
      <c r="V49" s="234"/>
      <c r="W49" s="236"/>
      <c r="X49" s="177"/>
      <c r="Y49" s="184"/>
      <c r="Z49" s="314"/>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c r="CD49" s="243"/>
      <c r="CE49" s="243"/>
      <c r="CF49" s="243"/>
    </row>
    <row r="50" spans="1:84" s="185" customFormat="1" ht="14.25" customHeight="1">
      <c r="A50" s="431">
        <v>39</v>
      </c>
      <c r="B50" s="433" t="s">
        <v>324</v>
      </c>
      <c r="C50" s="315">
        <f t="shared" si="7"/>
        <v>0</v>
      </c>
      <c r="D50" s="316"/>
      <c r="E50" s="316"/>
      <c r="F50" s="316"/>
      <c r="G50" s="316"/>
      <c r="H50" s="316"/>
      <c r="I50" s="232">
        <f t="shared" si="6"/>
        <v>1711.631961</v>
      </c>
      <c r="J50" s="197"/>
      <c r="K50" s="197">
        <v>202.850462</v>
      </c>
      <c r="L50" s="197"/>
      <c r="M50" s="197"/>
      <c r="N50" s="232">
        <f>O50+P50</f>
        <v>1508.781499</v>
      </c>
      <c r="O50" s="197"/>
      <c r="P50" s="197">
        <v>1508.781499</v>
      </c>
      <c r="Q50" s="197"/>
      <c r="R50" s="197"/>
      <c r="S50" s="235"/>
      <c r="T50" s="235"/>
      <c r="U50" s="235"/>
      <c r="V50" s="236"/>
      <c r="W50" s="236"/>
      <c r="X50" s="177"/>
      <c r="Y50" s="184"/>
      <c r="Z50" s="314"/>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c r="CD50" s="243"/>
      <c r="CE50" s="243"/>
      <c r="CF50" s="243"/>
    </row>
    <row r="51" spans="1:84" s="185" customFormat="1" ht="14.25" customHeight="1">
      <c r="A51" s="431">
        <v>40</v>
      </c>
      <c r="B51" s="433" t="s">
        <v>253</v>
      </c>
      <c r="C51" s="315">
        <f t="shared" si="7"/>
        <v>0</v>
      </c>
      <c r="D51" s="316"/>
      <c r="E51" s="316"/>
      <c r="F51" s="316"/>
      <c r="G51" s="316"/>
      <c r="H51" s="316"/>
      <c r="I51" s="232">
        <f t="shared" si="6"/>
        <v>70</v>
      </c>
      <c r="J51" s="197"/>
      <c r="K51" s="197">
        <v>70</v>
      </c>
      <c r="L51" s="197"/>
      <c r="M51" s="197"/>
      <c r="N51" s="232"/>
      <c r="O51" s="197"/>
      <c r="P51" s="197"/>
      <c r="Q51" s="197"/>
      <c r="R51" s="197"/>
      <c r="S51" s="235"/>
      <c r="T51" s="235"/>
      <c r="U51" s="235"/>
      <c r="V51" s="236"/>
      <c r="W51" s="236"/>
      <c r="X51" s="177"/>
      <c r="Y51" s="184"/>
      <c r="Z51" s="314"/>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c r="CD51" s="243"/>
      <c r="CE51" s="243"/>
      <c r="CF51" s="243"/>
    </row>
    <row r="52" spans="1:84" s="185" customFormat="1" ht="14.25" customHeight="1">
      <c r="A52" s="431">
        <v>41</v>
      </c>
      <c r="B52" s="433" t="s">
        <v>293</v>
      </c>
      <c r="C52" s="315">
        <f t="shared" si="7"/>
        <v>100</v>
      </c>
      <c r="D52" s="316"/>
      <c r="E52" s="316">
        <v>100</v>
      </c>
      <c r="F52" s="316"/>
      <c r="G52" s="316"/>
      <c r="H52" s="316"/>
      <c r="I52" s="232">
        <f t="shared" si="6"/>
        <v>100</v>
      </c>
      <c r="J52" s="197"/>
      <c r="K52" s="197">
        <v>100</v>
      </c>
      <c r="L52" s="197"/>
      <c r="M52" s="197"/>
      <c r="N52" s="232"/>
      <c r="O52" s="197"/>
      <c r="P52" s="197"/>
      <c r="Q52" s="197"/>
      <c r="R52" s="197"/>
      <c r="S52" s="235">
        <f t="shared" si="2"/>
        <v>1</v>
      </c>
      <c r="T52" s="235"/>
      <c r="U52" s="235">
        <f t="shared" si="4"/>
        <v>1</v>
      </c>
      <c r="V52" s="236"/>
      <c r="W52" s="236"/>
      <c r="X52" s="177"/>
      <c r="Y52" s="184"/>
      <c r="Z52" s="314"/>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c r="BZ52" s="243"/>
      <c r="CA52" s="243"/>
      <c r="CB52" s="243"/>
      <c r="CC52" s="243"/>
      <c r="CD52" s="243"/>
      <c r="CE52" s="243"/>
      <c r="CF52" s="243"/>
    </row>
    <row r="53" spans="1:84" s="185" customFormat="1" ht="14.25" customHeight="1">
      <c r="A53" s="431">
        <v>42</v>
      </c>
      <c r="B53" s="433" t="s">
        <v>136</v>
      </c>
      <c r="C53" s="315">
        <f t="shared" si="7"/>
        <v>100</v>
      </c>
      <c r="D53" s="316"/>
      <c r="E53" s="316">
        <v>100</v>
      </c>
      <c r="F53" s="316"/>
      <c r="G53" s="316"/>
      <c r="H53" s="316"/>
      <c r="I53" s="232">
        <f t="shared" si="6"/>
        <v>240</v>
      </c>
      <c r="J53" s="197"/>
      <c r="K53" s="197">
        <v>240</v>
      </c>
      <c r="L53" s="197"/>
      <c r="M53" s="197"/>
      <c r="N53" s="232"/>
      <c r="O53" s="197"/>
      <c r="P53" s="197"/>
      <c r="Q53" s="197"/>
      <c r="R53" s="197"/>
      <c r="S53" s="235">
        <f t="shared" si="2"/>
        <v>2.4</v>
      </c>
      <c r="T53" s="235"/>
      <c r="U53" s="235">
        <f t="shared" si="4"/>
        <v>2.4</v>
      </c>
      <c r="V53" s="236"/>
      <c r="W53" s="236"/>
      <c r="X53" s="177"/>
      <c r="Y53" s="184"/>
      <c r="Z53" s="314"/>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3"/>
      <c r="CF53" s="243"/>
    </row>
    <row r="54" spans="1:84" s="185" customFormat="1" ht="14.25" customHeight="1">
      <c r="A54" s="431">
        <v>43</v>
      </c>
      <c r="B54" s="433" t="s">
        <v>137</v>
      </c>
      <c r="C54" s="315">
        <f t="shared" si="7"/>
        <v>100</v>
      </c>
      <c r="D54" s="316"/>
      <c r="E54" s="316">
        <v>100</v>
      </c>
      <c r="F54" s="316"/>
      <c r="G54" s="316"/>
      <c r="H54" s="316"/>
      <c r="I54" s="232">
        <f t="shared" si="6"/>
        <v>140</v>
      </c>
      <c r="J54" s="197"/>
      <c r="K54" s="197">
        <v>140</v>
      </c>
      <c r="L54" s="197"/>
      <c r="M54" s="197"/>
      <c r="N54" s="232"/>
      <c r="O54" s="197"/>
      <c r="P54" s="197"/>
      <c r="Q54" s="197"/>
      <c r="R54" s="197"/>
      <c r="S54" s="235">
        <f t="shared" si="2"/>
        <v>1.4</v>
      </c>
      <c r="T54" s="235"/>
      <c r="U54" s="235">
        <f t="shared" si="4"/>
        <v>1.4</v>
      </c>
      <c r="V54" s="236"/>
      <c r="W54" s="236"/>
      <c r="X54" s="177"/>
      <c r="Y54" s="184"/>
      <c r="Z54" s="314"/>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c r="CC54" s="243"/>
      <c r="CD54" s="243"/>
      <c r="CE54" s="243"/>
      <c r="CF54" s="243"/>
    </row>
    <row r="55" spans="1:84" s="185" customFormat="1" ht="27" customHeight="1">
      <c r="A55" s="431">
        <v>44</v>
      </c>
      <c r="B55" s="434" t="s">
        <v>336</v>
      </c>
      <c r="C55" s="315">
        <f t="shared" si="7"/>
        <v>216892</v>
      </c>
      <c r="D55" s="129">
        <v>216892</v>
      </c>
      <c r="E55" s="317"/>
      <c r="F55" s="317"/>
      <c r="G55" s="317"/>
      <c r="H55" s="317"/>
      <c r="I55" s="232">
        <f t="shared" si="6"/>
        <v>237652.9504</v>
      </c>
      <c r="J55" s="233">
        <v>236190.8774</v>
      </c>
      <c r="K55" s="233"/>
      <c r="L55" s="233"/>
      <c r="M55" s="233"/>
      <c r="N55" s="232">
        <f>O55+P55</f>
        <v>1462.073</v>
      </c>
      <c r="O55" s="233">
        <v>1462.073</v>
      </c>
      <c r="P55" s="233"/>
      <c r="Q55" s="233"/>
      <c r="R55" s="233"/>
      <c r="S55" s="235">
        <f t="shared" si="2"/>
        <v>1.0957202220459952</v>
      </c>
      <c r="T55" s="235">
        <f t="shared" si="3"/>
        <v>1.0889792034745402</v>
      </c>
      <c r="U55" s="235"/>
      <c r="V55" s="236"/>
      <c r="W55" s="236"/>
      <c r="X55" s="177"/>
      <c r="Y55" s="190"/>
      <c r="Z55" s="314"/>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c r="CC55" s="243"/>
      <c r="CD55" s="243"/>
      <c r="CE55" s="243"/>
      <c r="CF55" s="243"/>
    </row>
    <row r="56" spans="1:84" s="185" customFormat="1" ht="27" customHeight="1">
      <c r="A56" s="431">
        <v>45</v>
      </c>
      <c r="B56" s="434" t="s">
        <v>325</v>
      </c>
      <c r="C56" s="315">
        <f t="shared" si="7"/>
        <v>103111</v>
      </c>
      <c r="D56" s="129">
        <v>103111</v>
      </c>
      <c r="E56" s="317"/>
      <c r="F56" s="317"/>
      <c r="G56" s="317"/>
      <c r="H56" s="317"/>
      <c r="I56" s="232">
        <f t="shared" si="6"/>
        <v>133484.744309</v>
      </c>
      <c r="J56" s="233">
        <v>132653.252483</v>
      </c>
      <c r="K56" s="233">
        <f>265+566.491826</f>
        <v>831.491826</v>
      </c>
      <c r="L56" s="233"/>
      <c r="M56" s="233"/>
      <c r="N56" s="232"/>
      <c r="O56" s="233"/>
      <c r="P56" s="233"/>
      <c r="Q56" s="233"/>
      <c r="R56" s="233"/>
      <c r="S56" s="235">
        <f t="shared" si="2"/>
        <v>1.2945732687007205</v>
      </c>
      <c r="T56" s="235">
        <f t="shared" si="3"/>
        <v>1.2865092229054125</v>
      </c>
      <c r="U56" s="235"/>
      <c r="V56" s="236"/>
      <c r="W56" s="236"/>
      <c r="X56" s="177"/>
      <c r="Y56" s="190"/>
      <c r="Z56" s="314"/>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3"/>
      <c r="CD56" s="243"/>
      <c r="CE56" s="243"/>
      <c r="CF56" s="243"/>
    </row>
    <row r="57" spans="1:84" s="185" customFormat="1" ht="21.75" customHeight="1">
      <c r="A57" s="431">
        <v>46</v>
      </c>
      <c r="B57" s="434" t="s">
        <v>322</v>
      </c>
      <c r="C57" s="315">
        <f t="shared" si="7"/>
        <v>516769.224879</v>
      </c>
      <c r="D57" s="129">
        <f>646769.224879-130000</f>
        <v>516769.224879</v>
      </c>
      <c r="E57" s="317"/>
      <c r="F57" s="317"/>
      <c r="G57" s="317"/>
      <c r="H57" s="317"/>
      <c r="I57" s="232">
        <f t="shared" si="6"/>
        <v>410703.051554</v>
      </c>
      <c r="J57" s="233">
        <v>410703.051554</v>
      </c>
      <c r="K57" s="233"/>
      <c r="L57" s="233"/>
      <c r="M57" s="233"/>
      <c r="N57" s="232"/>
      <c r="O57" s="233"/>
      <c r="P57" s="233"/>
      <c r="Q57" s="233"/>
      <c r="R57" s="233"/>
      <c r="S57" s="235">
        <f t="shared" si="2"/>
        <v>0.7947513740783712</v>
      </c>
      <c r="T57" s="235">
        <f t="shared" si="3"/>
        <v>0.7947513740783712</v>
      </c>
      <c r="U57" s="235"/>
      <c r="V57" s="236"/>
      <c r="W57" s="236"/>
      <c r="X57" s="177"/>
      <c r="Y57" s="190"/>
      <c r="Z57" s="314"/>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c r="BZ57" s="243"/>
      <c r="CA57" s="243"/>
      <c r="CB57" s="243"/>
      <c r="CC57" s="243"/>
      <c r="CD57" s="243"/>
      <c r="CE57" s="243"/>
      <c r="CF57" s="243"/>
    </row>
    <row r="58" spans="1:84" s="185" customFormat="1" ht="27" customHeight="1">
      <c r="A58" s="431">
        <v>47</v>
      </c>
      <c r="B58" s="434" t="s">
        <v>300</v>
      </c>
      <c r="C58" s="315">
        <f t="shared" si="7"/>
        <v>0</v>
      </c>
      <c r="D58" s="129"/>
      <c r="E58" s="317"/>
      <c r="F58" s="317"/>
      <c r="G58" s="317"/>
      <c r="H58" s="317"/>
      <c r="I58" s="232">
        <f t="shared" si="6"/>
        <v>0</v>
      </c>
      <c r="J58" s="233"/>
      <c r="K58" s="233"/>
      <c r="L58" s="233"/>
      <c r="M58" s="233"/>
      <c r="N58" s="232"/>
      <c r="O58" s="233"/>
      <c r="P58" s="233"/>
      <c r="Q58" s="233"/>
      <c r="R58" s="233"/>
      <c r="S58" s="235"/>
      <c r="T58" s="235"/>
      <c r="U58" s="235"/>
      <c r="V58" s="236"/>
      <c r="W58" s="236"/>
      <c r="X58" s="177"/>
      <c r="Y58" s="190"/>
      <c r="Z58" s="314"/>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c r="CF58" s="243"/>
    </row>
    <row r="59" spans="1:84" s="185" customFormat="1" ht="14.25" customHeight="1">
      <c r="A59" s="431">
        <v>48</v>
      </c>
      <c r="B59" s="435" t="s">
        <v>296</v>
      </c>
      <c r="C59" s="315">
        <f t="shared" si="7"/>
        <v>13553</v>
      </c>
      <c r="D59" s="317"/>
      <c r="E59" s="317">
        <v>13553</v>
      </c>
      <c r="F59" s="317"/>
      <c r="G59" s="317"/>
      <c r="H59" s="317"/>
      <c r="I59" s="232">
        <f t="shared" si="6"/>
        <v>13553</v>
      </c>
      <c r="J59" s="233"/>
      <c r="K59" s="233">
        <v>13553</v>
      </c>
      <c r="L59" s="233"/>
      <c r="M59" s="233"/>
      <c r="N59" s="232"/>
      <c r="O59" s="233"/>
      <c r="P59" s="233"/>
      <c r="Q59" s="233"/>
      <c r="R59" s="233"/>
      <c r="S59" s="235">
        <f t="shared" si="2"/>
        <v>1</v>
      </c>
      <c r="T59" s="235"/>
      <c r="U59" s="235">
        <f t="shared" si="4"/>
        <v>1</v>
      </c>
      <c r="V59" s="236"/>
      <c r="W59" s="236"/>
      <c r="X59" s="177"/>
      <c r="Y59" s="190"/>
      <c r="Z59" s="314"/>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3"/>
      <c r="CE59" s="243"/>
      <c r="CF59" s="243"/>
    </row>
    <row r="60" spans="1:84" s="185" customFormat="1" ht="14.25" customHeight="1">
      <c r="A60" s="431">
        <v>49</v>
      </c>
      <c r="B60" s="435" t="s">
        <v>373</v>
      </c>
      <c r="C60" s="315">
        <f t="shared" si="7"/>
        <v>836</v>
      </c>
      <c r="D60" s="317"/>
      <c r="E60" s="317">
        <v>836</v>
      </c>
      <c r="F60" s="317"/>
      <c r="G60" s="317"/>
      <c r="H60" s="317"/>
      <c r="I60" s="232">
        <f t="shared" si="6"/>
        <v>836</v>
      </c>
      <c r="J60" s="233"/>
      <c r="K60" s="233">
        <v>836</v>
      </c>
      <c r="L60" s="233"/>
      <c r="M60" s="233"/>
      <c r="N60" s="232"/>
      <c r="O60" s="233"/>
      <c r="P60" s="233"/>
      <c r="Q60" s="233"/>
      <c r="R60" s="233"/>
      <c r="S60" s="235">
        <f t="shared" si="2"/>
        <v>1</v>
      </c>
      <c r="T60" s="235"/>
      <c r="U60" s="235">
        <f t="shared" si="4"/>
        <v>1</v>
      </c>
      <c r="V60" s="236"/>
      <c r="W60" s="236"/>
      <c r="X60" s="177"/>
      <c r="Y60" s="190"/>
      <c r="Z60" s="314"/>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c r="BZ60" s="243"/>
      <c r="CA60" s="243"/>
      <c r="CB60" s="243"/>
      <c r="CC60" s="243"/>
      <c r="CD60" s="243"/>
      <c r="CE60" s="243"/>
      <c r="CF60" s="243"/>
    </row>
    <row r="61" spans="1:84" s="185" customFormat="1" ht="14.25" customHeight="1">
      <c r="A61" s="431">
        <v>50</v>
      </c>
      <c r="B61" s="435" t="s">
        <v>295</v>
      </c>
      <c r="C61" s="315">
        <f t="shared" si="7"/>
        <v>3866</v>
      </c>
      <c r="D61" s="317"/>
      <c r="E61" s="317">
        <v>3866</v>
      </c>
      <c r="F61" s="317"/>
      <c r="G61" s="317"/>
      <c r="H61" s="317"/>
      <c r="I61" s="232">
        <f t="shared" si="6"/>
        <v>4970</v>
      </c>
      <c r="J61" s="233"/>
      <c r="K61" s="233">
        <v>4970</v>
      </c>
      <c r="L61" s="233"/>
      <c r="M61" s="233"/>
      <c r="N61" s="232"/>
      <c r="O61" s="233"/>
      <c r="P61" s="233"/>
      <c r="Q61" s="233"/>
      <c r="R61" s="233"/>
      <c r="S61" s="235">
        <f t="shared" si="2"/>
        <v>1.2855664769787893</v>
      </c>
      <c r="T61" s="235"/>
      <c r="U61" s="235">
        <f t="shared" si="4"/>
        <v>1.2855664769787893</v>
      </c>
      <c r="V61" s="236"/>
      <c r="W61" s="236"/>
      <c r="X61" s="177"/>
      <c r="Y61" s="190"/>
      <c r="Z61" s="314"/>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c r="BZ61" s="243"/>
      <c r="CA61" s="243"/>
      <c r="CB61" s="243"/>
      <c r="CC61" s="243"/>
      <c r="CD61" s="243"/>
      <c r="CE61" s="243"/>
      <c r="CF61" s="243"/>
    </row>
    <row r="62" spans="1:84" s="185" customFormat="1" ht="14.25" customHeight="1">
      <c r="A62" s="431">
        <v>51</v>
      </c>
      <c r="B62" s="435" t="s">
        <v>297</v>
      </c>
      <c r="C62" s="315">
        <f t="shared" si="7"/>
        <v>1970</v>
      </c>
      <c r="D62" s="317"/>
      <c r="E62" s="317">
        <v>1970</v>
      </c>
      <c r="F62" s="317"/>
      <c r="G62" s="317"/>
      <c r="H62" s="317"/>
      <c r="I62" s="232">
        <f t="shared" si="6"/>
        <v>2134</v>
      </c>
      <c r="J62" s="233"/>
      <c r="K62" s="233">
        <v>2134</v>
      </c>
      <c r="L62" s="233"/>
      <c r="M62" s="233"/>
      <c r="N62" s="232"/>
      <c r="O62" s="233"/>
      <c r="P62" s="233"/>
      <c r="Q62" s="233"/>
      <c r="R62" s="233"/>
      <c r="S62" s="235">
        <f t="shared" si="2"/>
        <v>1.083248730964467</v>
      </c>
      <c r="T62" s="235"/>
      <c r="U62" s="235">
        <f t="shared" si="4"/>
        <v>1.083248730964467</v>
      </c>
      <c r="V62" s="236"/>
      <c r="W62" s="236"/>
      <c r="X62" s="177"/>
      <c r="Y62" s="190"/>
      <c r="Z62" s="314"/>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c r="BZ62" s="243"/>
      <c r="CA62" s="243"/>
      <c r="CB62" s="243"/>
      <c r="CC62" s="243"/>
      <c r="CD62" s="243"/>
      <c r="CE62" s="243"/>
      <c r="CF62" s="243"/>
    </row>
    <row r="63" spans="1:84" s="185" customFormat="1" ht="14.25" customHeight="1">
      <c r="A63" s="431">
        <v>52</v>
      </c>
      <c r="B63" s="432" t="s">
        <v>34</v>
      </c>
      <c r="C63" s="315">
        <f t="shared" si="7"/>
        <v>700</v>
      </c>
      <c r="D63" s="318"/>
      <c r="E63" s="318">
        <v>700</v>
      </c>
      <c r="F63" s="318"/>
      <c r="G63" s="318"/>
      <c r="H63" s="318"/>
      <c r="I63" s="232">
        <f t="shared" si="6"/>
        <v>700</v>
      </c>
      <c r="J63" s="198"/>
      <c r="K63" s="198">
        <v>700</v>
      </c>
      <c r="L63" s="198"/>
      <c r="M63" s="198"/>
      <c r="N63" s="232"/>
      <c r="O63" s="198"/>
      <c r="P63" s="198"/>
      <c r="Q63" s="198"/>
      <c r="R63" s="233"/>
      <c r="S63" s="235">
        <f t="shared" si="2"/>
        <v>1</v>
      </c>
      <c r="T63" s="235"/>
      <c r="U63" s="235">
        <f t="shared" si="4"/>
        <v>1</v>
      </c>
      <c r="V63" s="236"/>
      <c r="W63" s="236"/>
      <c r="X63" s="177"/>
      <c r="Y63" s="190"/>
      <c r="Z63" s="314"/>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c r="BZ63" s="243"/>
      <c r="CA63" s="243"/>
      <c r="CB63" s="243"/>
      <c r="CC63" s="243"/>
      <c r="CD63" s="243"/>
      <c r="CE63" s="243"/>
      <c r="CF63" s="243"/>
    </row>
    <row r="64" spans="1:84" s="185" customFormat="1" ht="14.25" customHeight="1">
      <c r="A64" s="431">
        <v>53</v>
      </c>
      <c r="B64" s="432" t="s">
        <v>375</v>
      </c>
      <c r="C64" s="315">
        <f t="shared" si="7"/>
        <v>0</v>
      </c>
      <c r="D64" s="318"/>
      <c r="E64" s="318"/>
      <c r="F64" s="318"/>
      <c r="G64" s="318"/>
      <c r="H64" s="318"/>
      <c r="I64" s="232">
        <f t="shared" si="6"/>
        <v>20</v>
      </c>
      <c r="J64" s="198"/>
      <c r="K64" s="198">
        <v>20</v>
      </c>
      <c r="L64" s="198"/>
      <c r="M64" s="198"/>
      <c r="N64" s="232"/>
      <c r="O64" s="198"/>
      <c r="P64" s="198"/>
      <c r="Q64" s="198"/>
      <c r="R64" s="233"/>
      <c r="S64" s="235"/>
      <c r="T64" s="235"/>
      <c r="U64" s="235"/>
      <c r="V64" s="236"/>
      <c r="W64" s="236"/>
      <c r="X64" s="177"/>
      <c r="Y64" s="190"/>
      <c r="Z64" s="314"/>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c r="BZ64" s="243"/>
      <c r="CA64" s="243"/>
      <c r="CB64" s="243"/>
      <c r="CC64" s="243"/>
      <c r="CD64" s="243"/>
      <c r="CE64" s="243"/>
      <c r="CF64" s="243"/>
    </row>
    <row r="65" spans="1:84" s="185" customFormat="1" ht="14.25" customHeight="1">
      <c r="A65" s="431">
        <v>54</v>
      </c>
      <c r="B65" s="433" t="s">
        <v>291</v>
      </c>
      <c r="C65" s="315">
        <f t="shared" si="7"/>
        <v>3441</v>
      </c>
      <c r="D65" s="316"/>
      <c r="E65" s="316">
        <v>3441</v>
      </c>
      <c r="F65" s="316"/>
      <c r="G65" s="316"/>
      <c r="H65" s="316"/>
      <c r="I65" s="232">
        <f t="shared" si="6"/>
        <v>3895</v>
      </c>
      <c r="J65" s="197"/>
      <c r="K65" s="197">
        <v>3895</v>
      </c>
      <c r="L65" s="197"/>
      <c r="M65" s="197"/>
      <c r="N65" s="232"/>
      <c r="O65" s="197"/>
      <c r="P65" s="197"/>
      <c r="Q65" s="197"/>
      <c r="R65" s="197"/>
      <c r="S65" s="235">
        <f t="shared" si="2"/>
        <v>1.131938390002906</v>
      </c>
      <c r="T65" s="235"/>
      <c r="U65" s="235">
        <f t="shared" si="4"/>
        <v>1.131938390002906</v>
      </c>
      <c r="V65" s="236"/>
      <c r="W65" s="236"/>
      <c r="X65" s="177"/>
      <c r="Y65" s="184">
        <v>5</v>
      </c>
      <c r="Z65" s="314"/>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row>
    <row r="66" spans="1:84" s="185" customFormat="1" ht="14.25" customHeight="1">
      <c r="A66" s="431">
        <v>55</v>
      </c>
      <c r="B66" s="433" t="s">
        <v>334</v>
      </c>
      <c r="C66" s="315">
        <f t="shared" si="7"/>
        <v>2270</v>
      </c>
      <c r="D66" s="316"/>
      <c r="E66" s="316">
        <v>2270</v>
      </c>
      <c r="F66" s="316"/>
      <c r="G66" s="316"/>
      <c r="H66" s="316"/>
      <c r="I66" s="232">
        <f t="shared" si="6"/>
        <v>2405</v>
      </c>
      <c r="J66" s="197"/>
      <c r="K66" s="197">
        <v>2405</v>
      </c>
      <c r="L66" s="197"/>
      <c r="M66" s="197"/>
      <c r="N66" s="232"/>
      <c r="O66" s="197"/>
      <c r="P66" s="197"/>
      <c r="Q66" s="197"/>
      <c r="R66" s="197"/>
      <c r="S66" s="235">
        <f t="shared" si="2"/>
        <v>1.0594713656387664</v>
      </c>
      <c r="T66" s="235"/>
      <c r="U66" s="235">
        <f t="shared" si="4"/>
        <v>1.0594713656387664</v>
      </c>
      <c r="V66" s="236"/>
      <c r="W66" s="236"/>
      <c r="X66" s="177"/>
      <c r="Y66" s="184">
        <v>221</v>
      </c>
      <c r="Z66" s="314"/>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243"/>
      <c r="CC66" s="243"/>
      <c r="CD66" s="243"/>
      <c r="CE66" s="243"/>
      <c r="CF66" s="243"/>
    </row>
    <row r="67" spans="1:84" s="185" customFormat="1" ht="14.25" customHeight="1">
      <c r="A67" s="431">
        <v>56</v>
      </c>
      <c r="B67" s="433" t="s">
        <v>32</v>
      </c>
      <c r="C67" s="315">
        <f t="shared" si="7"/>
        <v>355</v>
      </c>
      <c r="D67" s="316"/>
      <c r="E67" s="316">
        <v>355</v>
      </c>
      <c r="F67" s="316"/>
      <c r="G67" s="316"/>
      <c r="H67" s="316"/>
      <c r="I67" s="232">
        <f t="shared" si="6"/>
        <v>353.47</v>
      </c>
      <c r="J67" s="197"/>
      <c r="K67" s="197">
        <v>353.47</v>
      </c>
      <c r="L67" s="197"/>
      <c r="M67" s="197"/>
      <c r="N67" s="232"/>
      <c r="O67" s="197"/>
      <c r="P67" s="197"/>
      <c r="Q67" s="197"/>
      <c r="R67" s="197"/>
      <c r="S67" s="235">
        <f t="shared" si="2"/>
        <v>0.9956901408450705</v>
      </c>
      <c r="T67" s="235"/>
      <c r="U67" s="235">
        <f t="shared" si="4"/>
        <v>0.9956901408450705</v>
      </c>
      <c r="V67" s="236"/>
      <c r="W67" s="236"/>
      <c r="X67" s="177"/>
      <c r="Y67" s="184"/>
      <c r="Z67" s="314"/>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c r="BZ67" s="243"/>
      <c r="CA67" s="243"/>
      <c r="CB67" s="243"/>
      <c r="CC67" s="243"/>
      <c r="CD67" s="243"/>
      <c r="CE67" s="243"/>
      <c r="CF67" s="243"/>
    </row>
    <row r="68" spans="1:84" s="185" customFormat="1" ht="14.25" customHeight="1">
      <c r="A68" s="431">
        <v>57</v>
      </c>
      <c r="B68" s="433" t="s">
        <v>327</v>
      </c>
      <c r="C68" s="315">
        <f t="shared" si="7"/>
        <v>438</v>
      </c>
      <c r="D68" s="316"/>
      <c r="E68" s="316">
        <v>438</v>
      </c>
      <c r="F68" s="316"/>
      <c r="G68" s="316"/>
      <c r="H68" s="316"/>
      <c r="I68" s="232">
        <f t="shared" si="6"/>
        <v>438</v>
      </c>
      <c r="J68" s="197"/>
      <c r="K68" s="197">
        <v>438</v>
      </c>
      <c r="L68" s="197"/>
      <c r="M68" s="197"/>
      <c r="N68" s="232"/>
      <c r="O68" s="197"/>
      <c r="P68" s="197"/>
      <c r="Q68" s="197"/>
      <c r="R68" s="197"/>
      <c r="S68" s="235">
        <f t="shared" si="2"/>
        <v>1</v>
      </c>
      <c r="T68" s="235"/>
      <c r="U68" s="235">
        <f t="shared" si="4"/>
        <v>1</v>
      </c>
      <c r="V68" s="236"/>
      <c r="W68" s="236"/>
      <c r="X68" s="177"/>
      <c r="Y68" s="184"/>
      <c r="Z68" s="314"/>
      <c r="AA68" s="243"/>
      <c r="AB68" s="243"/>
      <c r="AC68" s="243"/>
      <c r="AD68" s="243"/>
      <c r="AE68" s="243"/>
      <c r="AF68" s="243"/>
      <c r="AG68" s="243"/>
      <c r="AH68" s="243"/>
      <c r="AI68" s="243"/>
      <c r="AJ68" s="243"/>
      <c r="AK68" s="243"/>
      <c r="AL68" s="243"/>
      <c r="AM68" s="243"/>
      <c r="AN68" s="243"/>
      <c r="AO68" s="243"/>
      <c r="AP68" s="243"/>
      <c r="AQ68" s="243"/>
      <c r="AR68" s="243"/>
      <c r="AS68" s="243"/>
      <c r="AT68" s="243"/>
      <c r="AU68" s="243"/>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c r="BZ68" s="243"/>
      <c r="CA68" s="243"/>
      <c r="CB68" s="243"/>
      <c r="CC68" s="243"/>
      <c r="CD68" s="243"/>
      <c r="CE68" s="243"/>
      <c r="CF68" s="243"/>
    </row>
    <row r="69" spans="1:84" s="185" customFormat="1" ht="14.25" customHeight="1">
      <c r="A69" s="431">
        <v>58</v>
      </c>
      <c r="B69" s="433" t="s">
        <v>331</v>
      </c>
      <c r="C69" s="315">
        <f t="shared" si="7"/>
        <v>1529</v>
      </c>
      <c r="D69" s="316"/>
      <c r="E69" s="316">
        <v>1529</v>
      </c>
      <c r="F69" s="316"/>
      <c r="G69" s="316"/>
      <c r="H69" s="316"/>
      <c r="I69" s="232">
        <f t="shared" si="6"/>
        <v>1782.20771</v>
      </c>
      <c r="J69" s="197"/>
      <c r="K69" s="197">
        <v>1782.20771</v>
      </c>
      <c r="L69" s="197"/>
      <c r="M69" s="197"/>
      <c r="N69" s="232"/>
      <c r="O69" s="197"/>
      <c r="P69" s="197"/>
      <c r="Q69" s="197"/>
      <c r="R69" s="197"/>
      <c r="S69" s="235">
        <f t="shared" si="2"/>
        <v>1.165603472858077</v>
      </c>
      <c r="T69" s="235"/>
      <c r="U69" s="235">
        <f t="shared" si="4"/>
        <v>1.165603472858077</v>
      </c>
      <c r="V69" s="236"/>
      <c r="W69" s="236"/>
      <c r="X69" s="177"/>
      <c r="Y69" s="184">
        <v>3.69363</v>
      </c>
      <c r="Z69" s="314"/>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c r="CC69" s="243"/>
      <c r="CD69" s="243"/>
      <c r="CE69" s="243"/>
      <c r="CF69" s="243"/>
    </row>
    <row r="70" spans="1:84" s="185" customFormat="1" ht="14.25" customHeight="1">
      <c r="A70" s="431">
        <v>59</v>
      </c>
      <c r="B70" s="433" t="s">
        <v>290</v>
      </c>
      <c r="C70" s="315">
        <f t="shared" si="7"/>
        <v>1105</v>
      </c>
      <c r="D70" s="316"/>
      <c r="E70" s="316">
        <v>1105</v>
      </c>
      <c r="F70" s="316"/>
      <c r="G70" s="316"/>
      <c r="H70" s="316"/>
      <c r="I70" s="232">
        <f t="shared" si="6"/>
        <v>1074</v>
      </c>
      <c r="J70" s="197"/>
      <c r="K70" s="197">
        <v>1074</v>
      </c>
      <c r="L70" s="197"/>
      <c r="M70" s="197"/>
      <c r="N70" s="232"/>
      <c r="O70" s="197"/>
      <c r="P70" s="197"/>
      <c r="Q70" s="197"/>
      <c r="R70" s="197"/>
      <c r="S70" s="235">
        <f t="shared" si="2"/>
        <v>0.971945701357466</v>
      </c>
      <c r="T70" s="235"/>
      <c r="U70" s="235">
        <f t="shared" si="4"/>
        <v>0.971945701357466</v>
      </c>
      <c r="V70" s="236"/>
      <c r="W70" s="236"/>
      <c r="X70" s="177"/>
      <c r="Y70" s="184"/>
      <c r="Z70" s="314"/>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c r="CC70" s="243"/>
      <c r="CD70" s="243"/>
      <c r="CE70" s="243"/>
      <c r="CF70" s="243"/>
    </row>
    <row r="71" spans="1:84" s="185" customFormat="1" ht="14.25" customHeight="1">
      <c r="A71" s="431">
        <v>60</v>
      </c>
      <c r="B71" s="433" t="s">
        <v>332</v>
      </c>
      <c r="C71" s="315">
        <f t="shared" si="7"/>
        <v>289</v>
      </c>
      <c r="D71" s="316"/>
      <c r="E71" s="316">
        <v>289</v>
      </c>
      <c r="F71" s="316"/>
      <c r="G71" s="316"/>
      <c r="H71" s="316"/>
      <c r="I71" s="232">
        <f t="shared" si="6"/>
        <v>289</v>
      </c>
      <c r="J71" s="197"/>
      <c r="K71" s="197">
        <v>289</v>
      </c>
      <c r="L71" s="197"/>
      <c r="M71" s="197"/>
      <c r="N71" s="232"/>
      <c r="O71" s="197"/>
      <c r="P71" s="197"/>
      <c r="Q71" s="197"/>
      <c r="R71" s="197"/>
      <c r="S71" s="235">
        <f t="shared" si="2"/>
        <v>1</v>
      </c>
      <c r="T71" s="235"/>
      <c r="U71" s="235">
        <f t="shared" si="4"/>
        <v>1</v>
      </c>
      <c r="V71" s="236"/>
      <c r="W71" s="236"/>
      <c r="X71" s="177"/>
      <c r="Y71" s="184">
        <v>0.03254</v>
      </c>
      <c r="Z71" s="314"/>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c r="BZ71" s="243"/>
      <c r="CA71" s="243"/>
      <c r="CB71" s="243"/>
      <c r="CC71" s="243"/>
      <c r="CD71" s="243"/>
      <c r="CE71" s="243"/>
      <c r="CF71" s="243"/>
    </row>
    <row r="72" spans="1:84" s="185" customFormat="1" ht="14.25" customHeight="1">
      <c r="A72" s="431">
        <v>61</v>
      </c>
      <c r="B72" s="433" t="s">
        <v>333</v>
      </c>
      <c r="C72" s="315">
        <f t="shared" si="7"/>
        <v>1234</v>
      </c>
      <c r="D72" s="316"/>
      <c r="E72" s="316">
        <v>1234</v>
      </c>
      <c r="F72" s="316"/>
      <c r="G72" s="316"/>
      <c r="H72" s="316"/>
      <c r="I72" s="232">
        <f t="shared" si="6"/>
        <v>1205.79</v>
      </c>
      <c r="J72" s="197"/>
      <c r="K72" s="197">
        <v>1205.79</v>
      </c>
      <c r="L72" s="197"/>
      <c r="M72" s="197"/>
      <c r="N72" s="232"/>
      <c r="O72" s="197"/>
      <c r="P72" s="197"/>
      <c r="Q72" s="197"/>
      <c r="R72" s="197"/>
      <c r="S72" s="235">
        <f t="shared" si="2"/>
        <v>0.9771393841166937</v>
      </c>
      <c r="T72" s="235"/>
      <c r="U72" s="235">
        <f t="shared" si="4"/>
        <v>0.9771393841166937</v>
      </c>
      <c r="V72" s="236"/>
      <c r="W72" s="236"/>
      <c r="X72" s="177"/>
      <c r="Y72" s="184">
        <v>80</v>
      </c>
      <c r="Z72" s="314"/>
      <c r="AA72" s="243"/>
      <c r="AB72" s="243"/>
      <c r="AC72" s="243"/>
      <c r="AD72" s="243"/>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c r="BZ72" s="243"/>
      <c r="CA72" s="243"/>
      <c r="CB72" s="243"/>
      <c r="CC72" s="243"/>
      <c r="CD72" s="243"/>
      <c r="CE72" s="243"/>
      <c r="CF72" s="243"/>
    </row>
    <row r="73" spans="1:84" s="185" customFormat="1" ht="14.25" customHeight="1">
      <c r="A73" s="431">
        <v>62</v>
      </c>
      <c r="B73" s="433" t="s">
        <v>328</v>
      </c>
      <c r="C73" s="315">
        <f t="shared" si="7"/>
        <v>631</v>
      </c>
      <c r="D73" s="316"/>
      <c r="E73" s="316">
        <v>631</v>
      </c>
      <c r="F73" s="316"/>
      <c r="G73" s="316"/>
      <c r="H73" s="316"/>
      <c r="I73" s="232">
        <f t="shared" si="6"/>
        <v>680.46318</v>
      </c>
      <c r="J73" s="197"/>
      <c r="K73" s="197">
        <v>680.46318</v>
      </c>
      <c r="L73" s="197"/>
      <c r="M73" s="197"/>
      <c r="N73" s="232"/>
      <c r="O73" s="197"/>
      <c r="P73" s="197"/>
      <c r="Q73" s="197"/>
      <c r="R73" s="197"/>
      <c r="S73" s="235">
        <f aca="true" t="shared" si="8" ref="S73:S81">I73/C73</f>
        <v>1.078388557844691</v>
      </c>
      <c r="T73" s="235"/>
      <c r="U73" s="235">
        <f>K73/E73</f>
        <v>1.078388557844691</v>
      </c>
      <c r="V73" s="236"/>
      <c r="W73" s="236"/>
      <c r="X73" s="177"/>
      <c r="Y73" s="184"/>
      <c r="Z73" s="314"/>
      <c r="AA73" s="243"/>
      <c r="AB73" s="243"/>
      <c r="AC73" s="243"/>
      <c r="AD73" s="243"/>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c r="BZ73" s="243"/>
      <c r="CA73" s="243"/>
      <c r="CB73" s="243"/>
      <c r="CC73" s="243"/>
      <c r="CD73" s="243"/>
      <c r="CE73" s="243"/>
      <c r="CF73" s="243"/>
    </row>
    <row r="74" spans="1:84" s="185" customFormat="1" ht="14.25" customHeight="1">
      <c r="A74" s="431">
        <v>63</v>
      </c>
      <c r="B74" s="433" t="s">
        <v>329</v>
      </c>
      <c r="C74" s="315">
        <f aca="true" t="shared" si="9" ref="C74:C83">SUM(D74:G74,H74)</f>
        <v>3037</v>
      </c>
      <c r="D74" s="316"/>
      <c r="E74" s="316">
        <v>3037</v>
      </c>
      <c r="F74" s="316"/>
      <c r="G74" s="316"/>
      <c r="H74" s="316"/>
      <c r="I74" s="232">
        <f t="shared" si="6"/>
        <v>3097.313098</v>
      </c>
      <c r="J74" s="197"/>
      <c r="K74" s="197">
        <v>2970.813098</v>
      </c>
      <c r="L74" s="197"/>
      <c r="M74" s="197"/>
      <c r="N74" s="232">
        <f>O74+P74</f>
        <v>126.5</v>
      </c>
      <c r="O74" s="197"/>
      <c r="P74" s="197">
        <v>126.5</v>
      </c>
      <c r="Q74" s="197"/>
      <c r="R74" s="197"/>
      <c r="S74" s="235">
        <f t="shared" si="8"/>
        <v>1.0198594329930852</v>
      </c>
      <c r="T74" s="235"/>
      <c r="U74" s="235">
        <f>K74/E74</f>
        <v>0.978206486005927</v>
      </c>
      <c r="V74" s="236"/>
      <c r="W74" s="236"/>
      <c r="X74" s="177"/>
      <c r="Y74" s="184">
        <v>40.32424</v>
      </c>
      <c r="Z74" s="314"/>
      <c r="AA74" s="243"/>
      <c r="AB74" s="243"/>
      <c r="AC74" s="243"/>
      <c r="AD74" s="243"/>
      <c r="AE74" s="243"/>
      <c r="AF74" s="243"/>
      <c r="AG74" s="243"/>
      <c r="AH74" s="243"/>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c r="BZ74" s="243"/>
      <c r="CA74" s="243"/>
      <c r="CB74" s="243"/>
      <c r="CC74" s="243"/>
      <c r="CD74" s="243"/>
      <c r="CE74" s="243"/>
      <c r="CF74" s="243"/>
    </row>
    <row r="75" spans="1:84" s="185" customFormat="1" ht="14.25" customHeight="1">
      <c r="A75" s="431">
        <v>64</v>
      </c>
      <c r="B75" s="433" t="s">
        <v>330</v>
      </c>
      <c r="C75" s="315">
        <f t="shared" si="9"/>
        <v>597</v>
      </c>
      <c r="D75" s="316"/>
      <c r="E75" s="316">
        <v>597</v>
      </c>
      <c r="F75" s="316"/>
      <c r="G75" s="316"/>
      <c r="H75" s="316"/>
      <c r="I75" s="232">
        <f aca="true" t="shared" si="10" ref="I75:I83">J75+K75+N75+Q75+R75+L75+M75</f>
        <v>656.415</v>
      </c>
      <c r="J75" s="197"/>
      <c r="K75" s="197">
        <v>656.415</v>
      </c>
      <c r="L75" s="197"/>
      <c r="M75" s="197"/>
      <c r="N75" s="232"/>
      <c r="O75" s="197"/>
      <c r="P75" s="197"/>
      <c r="Q75" s="197"/>
      <c r="R75" s="197"/>
      <c r="S75" s="235">
        <f t="shared" si="8"/>
        <v>1.0995226130653266</v>
      </c>
      <c r="T75" s="235"/>
      <c r="U75" s="235">
        <f>K75/E75</f>
        <v>1.0995226130653266</v>
      </c>
      <c r="V75" s="236"/>
      <c r="W75" s="236"/>
      <c r="X75" s="177"/>
      <c r="Y75" s="184"/>
      <c r="Z75" s="314"/>
      <c r="AA75" s="243"/>
      <c r="AB75" s="243"/>
      <c r="AC75" s="243"/>
      <c r="AD75" s="243"/>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c r="BZ75" s="243"/>
      <c r="CA75" s="243"/>
      <c r="CB75" s="243"/>
      <c r="CC75" s="243"/>
      <c r="CD75" s="243"/>
      <c r="CE75" s="243"/>
      <c r="CF75" s="243"/>
    </row>
    <row r="76" spans="1:84" s="185" customFormat="1" ht="14.25" customHeight="1">
      <c r="A76" s="431">
        <v>65</v>
      </c>
      <c r="B76" s="433" t="s">
        <v>292</v>
      </c>
      <c r="C76" s="315">
        <f t="shared" si="9"/>
        <v>629</v>
      </c>
      <c r="D76" s="316"/>
      <c r="E76" s="316">
        <v>629</v>
      </c>
      <c r="F76" s="316"/>
      <c r="G76" s="316"/>
      <c r="H76" s="316"/>
      <c r="I76" s="232">
        <f t="shared" si="10"/>
        <v>769</v>
      </c>
      <c r="J76" s="197"/>
      <c r="K76" s="197">
        <v>769</v>
      </c>
      <c r="L76" s="197"/>
      <c r="M76" s="197"/>
      <c r="N76" s="232"/>
      <c r="O76" s="197"/>
      <c r="P76" s="197"/>
      <c r="Q76" s="197"/>
      <c r="R76" s="197"/>
      <c r="S76" s="235">
        <f t="shared" si="8"/>
        <v>1.2225755166931638</v>
      </c>
      <c r="T76" s="235"/>
      <c r="U76" s="235">
        <f>K76/E76</f>
        <v>1.2225755166931638</v>
      </c>
      <c r="V76" s="236"/>
      <c r="W76" s="236"/>
      <c r="X76" s="177"/>
      <c r="Y76" s="184">
        <v>4.6668</v>
      </c>
      <c r="Z76" s="314"/>
      <c r="AA76" s="243"/>
      <c r="AB76" s="243"/>
      <c r="AC76" s="243"/>
      <c r="AD76" s="243"/>
      <c r="AE76" s="243"/>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c r="BZ76" s="243"/>
      <c r="CA76" s="243"/>
      <c r="CB76" s="243"/>
      <c r="CC76" s="243"/>
      <c r="CD76" s="243"/>
      <c r="CE76" s="243"/>
      <c r="CF76" s="243"/>
    </row>
    <row r="77" spans="1:84" s="185" customFormat="1" ht="14.25" customHeight="1">
      <c r="A77" s="431">
        <v>66</v>
      </c>
      <c r="B77" s="433" t="s">
        <v>374</v>
      </c>
      <c r="C77" s="315">
        <f t="shared" si="9"/>
        <v>1560458.922575</v>
      </c>
      <c r="D77" s="316">
        <f>1593958.922575-33500</f>
        <v>1560458.922575</v>
      </c>
      <c r="E77" s="316"/>
      <c r="F77" s="316"/>
      <c r="G77" s="316"/>
      <c r="H77" s="316"/>
      <c r="I77" s="232">
        <f t="shared" si="10"/>
        <v>737953.4815140001</v>
      </c>
      <c r="J77" s="197">
        <v>591680.628033</v>
      </c>
      <c r="K77" s="197"/>
      <c r="L77" s="197"/>
      <c r="M77" s="197"/>
      <c r="N77" s="232">
        <f>O77+P77</f>
        <v>146272.853481</v>
      </c>
      <c r="O77" s="197">
        <v>146272.853481</v>
      </c>
      <c r="P77" s="197"/>
      <c r="Q77" s="197"/>
      <c r="R77" s="197"/>
      <c r="S77" s="235">
        <f t="shared" si="8"/>
        <v>0.47290798292611386</v>
      </c>
      <c r="T77" s="235">
        <f>J77/D77</f>
        <v>0.37917090893788796</v>
      </c>
      <c r="U77" s="235"/>
      <c r="V77" s="236"/>
      <c r="W77" s="236"/>
      <c r="X77" s="177"/>
      <c r="Y77" s="184">
        <v>4.6668</v>
      </c>
      <c r="Z77" s="314"/>
      <c r="AA77" s="243"/>
      <c r="AB77" s="243"/>
      <c r="AC77" s="243"/>
      <c r="AD77" s="243"/>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c r="BZ77" s="243"/>
      <c r="CA77" s="243"/>
      <c r="CB77" s="243"/>
      <c r="CC77" s="243"/>
      <c r="CD77" s="243"/>
      <c r="CE77" s="243"/>
      <c r="CF77" s="243"/>
    </row>
    <row r="78" spans="1:84" s="185" customFormat="1" ht="14.25" customHeight="1">
      <c r="A78" s="431">
        <v>67</v>
      </c>
      <c r="B78" s="434" t="s">
        <v>376</v>
      </c>
      <c r="C78" s="315">
        <f t="shared" si="9"/>
        <v>0</v>
      </c>
      <c r="D78" s="129"/>
      <c r="E78" s="318"/>
      <c r="F78" s="318"/>
      <c r="G78" s="318"/>
      <c r="H78" s="318"/>
      <c r="I78" s="232">
        <f t="shared" si="10"/>
        <v>6895.322</v>
      </c>
      <c r="J78" s="198"/>
      <c r="K78" s="198">
        <v>6895.322</v>
      </c>
      <c r="L78" s="198"/>
      <c r="M78" s="198"/>
      <c r="N78" s="232"/>
      <c r="O78" s="198"/>
      <c r="P78" s="198"/>
      <c r="Q78" s="198"/>
      <c r="R78" s="233"/>
      <c r="S78" s="235"/>
      <c r="T78" s="235"/>
      <c r="U78" s="235"/>
      <c r="V78" s="236"/>
      <c r="W78" s="236"/>
      <c r="X78" s="177"/>
      <c r="Y78" s="190"/>
      <c r="Z78" s="314"/>
      <c r="AA78" s="243"/>
      <c r="AB78" s="243"/>
      <c r="AC78" s="243"/>
      <c r="AD78" s="243"/>
      <c r="AE78" s="243"/>
      <c r="AF78" s="243"/>
      <c r="AG78" s="243"/>
      <c r="AH78" s="243"/>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3"/>
      <c r="BX78" s="243"/>
      <c r="BY78" s="243"/>
      <c r="BZ78" s="243"/>
      <c r="CA78" s="243"/>
      <c r="CB78" s="243"/>
      <c r="CC78" s="243"/>
      <c r="CD78" s="243"/>
      <c r="CE78" s="243"/>
      <c r="CF78" s="243"/>
    </row>
    <row r="79" spans="1:84" s="191" customFormat="1" ht="27" customHeight="1">
      <c r="A79" s="429" t="s">
        <v>119</v>
      </c>
      <c r="B79" s="436" t="s">
        <v>127</v>
      </c>
      <c r="C79" s="326">
        <f t="shared" si="9"/>
        <v>7500</v>
      </c>
      <c r="D79" s="327"/>
      <c r="E79" s="328"/>
      <c r="F79" s="328">
        <v>7500</v>
      </c>
      <c r="G79" s="328"/>
      <c r="H79" s="328"/>
      <c r="I79" s="329">
        <f t="shared" si="10"/>
        <v>5599.257</v>
      </c>
      <c r="J79" s="330"/>
      <c r="K79" s="330"/>
      <c r="L79" s="330">
        <v>5599.257</v>
      </c>
      <c r="M79" s="330"/>
      <c r="N79" s="329"/>
      <c r="O79" s="330"/>
      <c r="P79" s="330"/>
      <c r="Q79" s="330"/>
      <c r="R79" s="330"/>
      <c r="S79" s="331">
        <f t="shared" si="8"/>
        <v>0.7465676</v>
      </c>
      <c r="T79" s="331"/>
      <c r="U79" s="331"/>
      <c r="V79" s="331">
        <f>L79/F79</f>
        <v>0.7465676</v>
      </c>
      <c r="W79" s="331"/>
      <c r="X79" s="332"/>
      <c r="Y79" s="306"/>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row>
    <row r="80" spans="1:84" s="191" customFormat="1" ht="14.25" customHeight="1">
      <c r="A80" s="429" t="s">
        <v>120</v>
      </c>
      <c r="B80" s="436" t="s">
        <v>156</v>
      </c>
      <c r="C80" s="326">
        <f t="shared" si="9"/>
        <v>1000</v>
      </c>
      <c r="D80" s="327"/>
      <c r="E80" s="328"/>
      <c r="F80" s="328"/>
      <c r="G80" s="328">
        <v>1000</v>
      </c>
      <c r="H80" s="328"/>
      <c r="I80" s="329">
        <f t="shared" si="10"/>
        <v>1000</v>
      </c>
      <c r="J80" s="330"/>
      <c r="K80" s="330"/>
      <c r="L80" s="330"/>
      <c r="M80" s="330">
        <v>1000</v>
      </c>
      <c r="N80" s="329"/>
      <c r="O80" s="330"/>
      <c r="P80" s="330"/>
      <c r="Q80" s="330"/>
      <c r="R80" s="330"/>
      <c r="S80" s="331">
        <f t="shared" si="8"/>
        <v>1</v>
      </c>
      <c r="T80" s="331"/>
      <c r="U80" s="331"/>
      <c r="V80" s="331"/>
      <c r="W80" s="331">
        <f>M80/G80</f>
        <v>1</v>
      </c>
      <c r="X80" s="332"/>
      <c r="Y80" s="333"/>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c r="CF80" s="241"/>
    </row>
    <row r="81" spans="1:84" s="188" customFormat="1" ht="12.75">
      <c r="A81" s="437" t="s">
        <v>121</v>
      </c>
      <c r="B81" s="106" t="s">
        <v>187</v>
      </c>
      <c r="C81" s="334">
        <f t="shared" si="9"/>
        <v>4987703</v>
      </c>
      <c r="D81" s="334"/>
      <c r="E81" s="334"/>
      <c r="F81" s="334"/>
      <c r="G81" s="334"/>
      <c r="H81" s="334">
        <v>4987703</v>
      </c>
      <c r="I81" s="335">
        <f t="shared" si="10"/>
        <v>5842356.8669920005</v>
      </c>
      <c r="J81" s="335"/>
      <c r="K81" s="335"/>
      <c r="L81" s="335"/>
      <c r="M81" s="335"/>
      <c r="N81" s="335"/>
      <c r="O81" s="335"/>
      <c r="P81" s="335"/>
      <c r="Q81" s="335"/>
      <c r="R81" s="335">
        <v>5842356.8669920005</v>
      </c>
      <c r="S81" s="336">
        <f t="shared" si="8"/>
        <v>1.1713521969916814</v>
      </c>
      <c r="T81" s="336"/>
      <c r="U81" s="336"/>
      <c r="V81" s="336"/>
      <c r="W81" s="336"/>
      <c r="X81" s="337">
        <f>R81/H81</f>
        <v>1.1713521969916814</v>
      </c>
      <c r="Y81" s="320"/>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c r="CF81" s="241"/>
    </row>
    <row r="82" spans="1:84" s="188" customFormat="1" ht="12.75">
      <c r="A82" s="437" t="s">
        <v>378</v>
      </c>
      <c r="B82" s="106" t="s">
        <v>161</v>
      </c>
      <c r="C82" s="334">
        <f t="shared" si="9"/>
        <v>0</v>
      </c>
      <c r="D82" s="334"/>
      <c r="E82" s="334"/>
      <c r="F82" s="334"/>
      <c r="G82" s="334"/>
      <c r="H82" s="334"/>
      <c r="I82" s="335">
        <f t="shared" si="10"/>
        <v>2720769.886379</v>
      </c>
      <c r="J82" s="335"/>
      <c r="K82" s="335"/>
      <c r="L82" s="335"/>
      <c r="M82" s="335"/>
      <c r="N82" s="335"/>
      <c r="O82" s="335"/>
      <c r="P82" s="335"/>
      <c r="Q82" s="335">
        <f>3165071.685743-444301.799364</f>
        <v>2720769.886379</v>
      </c>
      <c r="R82" s="335"/>
      <c r="S82" s="336"/>
      <c r="T82" s="336"/>
      <c r="U82" s="336"/>
      <c r="V82" s="336"/>
      <c r="W82" s="336"/>
      <c r="X82" s="337"/>
      <c r="Y82" s="320"/>
      <c r="Z82" s="241"/>
      <c r="AA82" s="241"/>
      <c r="AB82" s="241"/>
      <c r="AC82" s="241"/>
      <c r="AD82" s="241"/>
      <c r="AE82" s="241"/>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c r="CF82" s="241"/>
    </row>
    <row r="83" spans="1:84" s="188" customFormat="1" ht="12.75">
      <c r="A83" s="437" t="s">
        <v>204</v>
      </c>
      <c r="B83" s="106" t="s">
        <v>163</v>
      </c>
      <c r="C83" s="334">
        <f t="shared" si="9"/>
        <v>0</v>
      </c>
      <c r="D83" s="334"/>
      <c r="E83" s="334"/>
      <c r="F83" s="334"/>
      <c r="G83" s="334"/>
      <c r="H83" s="334"/>
      <c r="I83" s="335">
        <f t="shared" si="10"/>
        <v>596814.406956</v>
      </c>
      <c r="J83" s="335"/>
      <c r="K83" s="335"/>
      <c r="L83" s="335"/>
      <c r="M83" s="335"/>
      <c r="N83" s="335"/>
      <c r="O83" s="335"/>
      <c r="P83" s="335"/>
      <c r="Q83" s="335"/>
      <c r="R83" s="335">
        <f>152512.607592+444301.799364</f>
        <v>596814.406956</v>
      </c>
      <c r="S83" s="336"/>
      <c r="T83" s="336"/>
      <c r="U83" s="336"/>
      <c r="V83" s="336"/>
      <c r="W83" s="336"/>
      <c r="X83" s="337"/>
      <c r="Y83" s="320"/>
      <c r="Z83" s="241"/>
      <c r="AA83" s="241"/>
      <c r="AB83" s="241"/>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c r="CF83" s="241"/>
    </row>
    <row r="84" spans="1:24" ht="12.75">
      <c r="A84" s="438"/>
      <c r="B84" s="439"/>
      <c r="C84" s="338"/>
      <c r="D84" s="338"/>
      <c r="E84" s="338"/>
      <c r="F84" s="338"/>
      <c r="G84" s="338"/>
      <c r="H84" s="338"/>
      <c r="I84" s="339"/>
      <c r="J84" s="339"/>
      <c r="K84" s="339"/>
      <c r="L84" s="339"/>
      <c r="M84" s="339"/>
      <c r="N84" s="339"/>
      <c r="O84" s="339"/>
      <c r="P84" s="339"/>
      <c r="Q84" s="339"/>
      <c r="R84" s="339"/>
      <c r="S84" s="340"/>
      <c r="T84" s="340"/>
      <c r="U84" s="340"/>
      <c r="V84" s="340"/>
      <c r="W84" s="340"/>
      <c r="X84" s="341"/>
    </row>
  </sheetData>
  <sheetProtection/>
  <mergeCells count="30">
    <mergeCell ref="Y7:Y8"/>
    <mergeCell ref="A2:X2"/>
    <mergeCell ref="M7:M8"/>
    <mergeCell ref="F7:F8"/>
    <mergeCell ref="G7:G8"/>
    <mergeCell ref="A6:A8"/>
    <mergeCell ref="E7:E8"/>
    <mergeCell ref="T7:T8"/>
    <mergeCell ref="J7:J8"/>
    <mergeCell ref="X7:X8"/>
    <mergeCell ref="V1:X1"/>
    <mergeCell ref="K7:K8"/>
    <mergeCell ref="R7:R8"/>
    <mergeCell ref="N7:P7"/>
    <mergeCell ref="A3:X3"/>
    <mergeCell ref="C6:G6"/>
    <mergeCell ref="I7:I8"/>
    <mergeCell ref="B6:B8"/>
    <mergeCell ref="V5:X5"/>
    <mergeCell ref="C7:C8"/>
    <mergeCell ref="Q7:Q8"/>
    <mergeCell ref="W7:W8"/>
    <mergeCell ref="D7:D8"/>
    <mergeCell ref="L7:L8"/>
    <mergeCell ref="S6:X6"/>
    <mergeCell ref="I6:R6"/>
    <mergeCell ref="U7:U8"/>
    <mergeCell ref="S7:S8"/>
    <mergeCell ref="V7:V8"/>
    <mergeCell ref="H7:H8"/>
  </mergeCells>
  <printOptions horizontalCentered="1"/>
  <pageMargins left="0" right="0" top="0.2755905511811024" bottom="0.31496062992125984" header="0.31496062992125984" footer="0.31496062992125984"/>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tabColor theme="0"/>
  </sheetPr>
  <dimension ref="A1:X26"/>
  <sheetViews>
    <sheetView view="pageBreakPreview" zoomScale="90" zoomScaleSheetLayoutView="90" zoomScalePageLayoutView="0" workbookViewId="0" topLeftCell="A1">
      <selection activeCell="G16" sqref="G16"/>
    </sheetView>
  </sheetViews>
  <sheetFormatPr defaultColWidth="9.140625" defaultRowHeight="15"/>
  <cols>
    <col min="1" max="1" width="4.00390625" style="407" customWidth="1"/>
    <col min="2" max="2" width="19.00390625" style="408" bestFit="1" customWidth="1"/>
    <col min="3" max="3" width="9.00390625" style="409" customWidth="1"/>
    <col min="4" max="4" width="7.421875" style="409" customWidth="1"/>
    <col min="5" max="5" width="8.57421875" style="409" customWidth="1"/>
    <col min="6" max="6" width="8.57421875" style="410" customWidth="1"/>
    <col min="7" max="7" width="5.421875" style="410" customWidth="1"/>
    <col min="8" max="8" width="7.140625" style="410" customWidth="1"/>
    <col min="9" max="9" width="11.140625" style="411" customWidth="1"/>
    <col min="10" max="10" width="9.7109375" style="412" customWidth="1"/>
    <col min="11" max="11" width="11.421875" style="412" customWidth="1"/>
    <col min="12" max="12" width="11.421875" style="411" customWidth="1"/>
    <col min="13" max="13" width="7.57421875" style="411" customWidth="1"/>
    <col min="14" max="14" width="9.7109375" style="412" customWidth="1"/>
    <col min="15" max="15" width="9.7109375" style="411" customWidth="1"/>
    <col min="16" max="16" width="8.8515625" style="411" customWidth="1"/>
    <col min="17" max="17" width="9.7109375" style="412" customWidth="1"/>
    <col min="18" max="18" width="11.28125" style="412" customWidth="1"/>
    <col min="19" max="19" width="6.140625" style="425" customWidth="1"/>
    <col min="20" max="20" width="6.28125" style="425" customWidth="1"/>
    <col min="21" max="21" width="6.57421875" style="425" customWidth="1"/>
    <col min="22" max="23" width="7.421875" style="426" customWidth="1"/>
    <col min="24" max="16384" width="9.140625" style="408" customWidth="1"/>
  </cols>
  <sheetData>
    <row r="1" spans="18:23" ht="21" customHeight="1">
      <c r="R1" s="510" t="s">
        <v>145</v>
      </c>
      <c r="S1" s="510"/>
      <c r="T1" s="510"/>
      <c r="U1" s="510"/>
      <c r="V1" s="413"/>
      <c r="W1" s="413"/>
    </row>
    <row r="2" spans="1:23" ht="22.5">
      <c r="A2" s="472" t="s">
        <v>387</v>
      </c>
      <c r="B2" s="472"/>
      <c r="C2" s="472"/>
      <c r="D2" s="472"/>
      <c r="E2" s="472"/>
      <c r="F2" s="472"/>
      <c r="G2" s="472"/>
      <c r="H2" s="472"/>
      <c r="I2" s="472"/>
      <c r="J2" s="472"/>
      <c r="K2" s="472"/>
      <c r="L2" s="472"/>
      <c r="M2" s="472"/>
      <c r="N2" s="472"/>
      <c r="O2" s="472"/>
      <c r="P2" s="472"/>
      <c r="Q2" s="472"/>
      <c r="R2" s="472"/>
      <c r="S2" s="472"/>
      <c r="T2" s="472"/>
      <c r="U2" s="472"/>
      <c r="V2" s="414"/>
      <c r="W2" s="414"/>
    </row>
    <row r="3" spans="1:24" ht="18.75">
      <c r="A3" s="467" t="str">
        <f>'54'!A3:X3</f>
        <v>(Kèm theo Nghị quyết số      /NQ-HĐND ngày      tháng  6 năm 2024 của HĐND tỉnh Điện Biên)</v>
      </c>
      <c r="B3" s="467"/>
      <c r="C3" s="467"/>
      <c r="D3" s="467"/>
      <c r="E3" s="467"/>
      <c r="F3" s="467"/>
      <c r="G3" s="467"/>
      <c r="H3" s="467"/>
      <c r="I3" s="467"/>
      <c r="J3" s="467"/>
      <c r="K3" s="467"/>
      <c r="L3" s="467"/>
      <c r="M3" s="467"/>
      <c r="N3" s="467"/>
      <c r="O3" s="467"/>
      <c r="P3" s="467"/>
      <c r="Q3" s="467"/>
      <c r="R3" s="467"/>
      <c r="S3" s="467"/>
      <c r="T3" s="467"/>
      <c r="U3" s="467"/>
      <c r="V3" s="299"/>
      <c r="W3" s="299"/>
      <c r="X3" s="85"/>
    </row>
    <row r="4" spans="1:24" ht="18.75">
      <c r="A4" s="376"/>
      <c r="B4" s="376"/>
      <c r="C4" s="376"/>
      <c r="D4" s="376"/>
      <c r="E4" s="376"/>
      <c r="F4" s="376"/>
      <c r="G4" s="376"/>
      <c r="H4" s="376"/>
      <c r="I4" s="347"/>
      <c r="J4" s="347"/>
      <c r="K4" s="347"/>
      <c r="L4" s="347"/>
      <c r="M4" s="347"/>
      <c r="N4" s="347"/>
      <c r="O4" s="347"/>
      <c r="P4" s="347"/>
      <c r="Q4" s="347"/>
      <c r="R4" s="347"/>
      <c r="S4" s="376"/>
      <c r="T4" s="376"/>
      <c r="U4" s="376"/>
      <c r="V4" s="299"/>
      <c r="W4" s="299"/>
      <c r="X4" s="85"/>
    </row>
    <row r="5" spans="1:23" ht="18.75">
      <c r="A5" s="520"/>
      <c r="B5" s="520"/>
      <c r="C5" s="520"/>
      <c r="D5" s="520"/>
      <c r="E5" s="520"/>
      <c r="F5" s="520"/>
      <c r="G5" s="520"/>
      <c r="H5" s="520"/>
      <c r="I5" s="520"/>
      <c r="J5" s="520"/>
      <c r="K5" s="520"/>
      <c r="L5" s="520"/>
      <c r="R5" s="517" t="s">
        <v>210</v>
      </c>
      <c r="S5" s="517"/>
      <c r="T5" s="517"/>
      <c r="U5" s="517"/>
      <c r="V5" s="415"/>
      <c r="W5" s="415"/>
    </row>
    <row r="6" spans="1:23" s="407" customFormat="1" ht="33.75" customHeight="1">
      <c r="A6" s="511" t="s">
        <v>113</v>
      </c>
      <c r="B6" s="511" t="s">
        <v>54</v>
      </c>
      <c r="C6" s="518" t="s">
        <v>140</v>
      </c>
      <c r="D6" s="519"/>
      <c r="E6" s="519"/>
      <c r="F6" s="519"/>
      <c r="G6" s="519"/>
      <c r="H6" s="519"/>
      <c r="I6" s="516" t="s">
        <v>37</v>
      </c>
      <c r="J6" s="516"/>
      <c r="K6" s="516"/>
      <c r="L6" s="516"/>
      <c r="M6" s="516"/>
      <c r="N6" s="516"/>
      <c r="O6" s="516"/>
      <c r="P6" s="516"/>
      <c r="Q6" s="516"/>
      <c r="R6" s="516"/>
      <c r="S6" s="512" t="s">
        <v>193</v>
      </c>
      <c r="T6" s="512"/>
      <c r="U6" s="512"/>
      <c r="V6" s="416"/>
      <c r="W6" s="416"/>
    </row>
    <row r="7" spans="1:23" s="407" customFormat="1" ht="32.25" customHeight="1">
      <c r="A7" s="511"/>
      <c r="B7" s="511"/>
      <c r="C7" s="506" t="s">
        <v>227</v>
      </c>
      <c r="D7" s="506" t="s">
        <v>191</v>
      </c>
      <c r="E7" s="521" t="s">
        <v>126</v>
      </c>
      <c r="F7" s="522"/>
      <c r="G7" s="523"/>
      <c r="H7" s="524" t="s">
        <v>157</v>
      </c>
      <c r="I7" s="516" t="s">
        <v>227</v>
      </c>
      <c r="J7" s="507" t="s">
        <v>191</v>
      </c>
      <c r="K7" s="516" t="s">
        <v>126</v>
      </c>
      <c r="L7" s="516"/>
      <c r="M7" s="516"/>
      <c r="N7" s="516" t="s">
        <v>45</v>
      </c>
      <c r="O7" s="516"/>
      <c r="P7" s="516"/>
      <c r="Q7" s="507" t="s">
        <v>163</v>
      </c>
      <c r="R7" s="516" t="s">
        <v>161</v>
      </c>
      <c r="S7" s="512" t="s">
        <v>227</v>
      </c>
      <c r="T7" s="512" t="s">
        <v>191</v>
      </c>
      <c r="U7" s="513" t="s">
        <v>126</v>
      </c>
      <c r="V7" s="416"/>
      <c r="W7" s="416"/>
    </row>
    <row r="8" spans="1:23" s="407" customFormat="1" ht="34.5" customHeight="1">
      <c r="A8" s="511"/>
      <c r="B8" s="511"/>
      <c r="C8" s="506"/>
      <c r="D8" s="506"/>
      <c r="E8" s="516" t="s">
        <v>227</v>
      </c>
      <c r="F8" s="516" t="s">
        <v>232</v>
      </c>
      <c r="G8" s="516"/>
      <c r="H8" s="525"/>
      <c r="I8" s="516"/>
      <c r="J8" s="508"/>
      <c r="K8" s="516" t="s">
        <v>227</v>
      </c>
      <c r="L8" s="516" t="s">
        <v>232</v>
      </c>
      <c r="M8" s="516"/>
      <c r="N8" s="516" t="s">
        <v>227</v>
      </c>
      <c r="O8" s="516" t="s">
        <v>232</v>
      </c>
      <c r="P8" s="516"/>
      <c r="Q8" s="508"/>
      <c r="R8" s="516"/>
      <c r="S8" s="512"/>
      <c r="T8" s="512"/>
      <c r="U8" s="514"/>
      <c r="V8" s="416"/>
      <c r="W8" s="416"/>
    </row>
    <row r="9" spans="1:23" s="407" customFormat="1" ht="110.25" customHeight="1">
      <c r="A9" s="511"/>
      <c r="B9" s="511"/>
      <c r="C9" s="506"/>
      <c r="D9" s="506"/>
      <c r="E9" s="516"/>
      <c r="F9" s="379" t="s">
        <v>46</v>
      </c>
      <c r="G9" s="379" t="s">
        <v>144</v>
      </c>
      <c r="H9" s="526"/>
      <c r="I9" s="516"/>
      <c r="J9" s="509"/>
      <c r="K9" s="516"/>
      <c r="L9" s="378" t="s">
        <v>46</v>
      </c>
      <c r="M9" s="378" t="s">
        <v>144</v>
      </c>
      <c r="N9" s="516"/>
      <c r="O9" s="378" t="s">
        <v>214</v>
      </c>
      <c r="P9" s="378" t="s">
        <v>126</v>
      </c>
      <c r="Q9" s="509"/>
      <c r="R9" s="516"/>
      <c r="S9" s="512"/>
      <c r="T9" s="512"/>
      <c r="U9" s="515"/>
      <c r="V9" s="416"/>
      <c r="W9" s="416"/>
    </row>
    <row r="10" spans="1:23" s="418" customFormat="1" ht="22.5" customHeight="1">
      <c r="A10" s="257" t="s">
        <v>115</v>
      </c>
      <c r="B10" s="257" t="s">
        <v>116</v>
      </c>
      <c r="C10" s="257">
        <v>1</v>
      </c>
      <c r="D10" s="257">
        <v>2</v>
      </c>
      <c r="E10" s="257">
        <v>3</v>
      </c>
      <c r="F10" s="257">
        <v>4</v>
      </c>
      <c r="G10" s="257">
        <v>5</v>
      </c>
      <c r="H10" s="257">
        <v>6</v>
      </c>
      <c r="I10" s="257">
        <v>13</v>
      </c>
      <c r="J10" s="257">
        <v>14</v>
      </c>
      <c r="K10" s="257">
        <v>15</v>
      </c>
      <c r="L10" s="257">
        <v>16</v>
      </c>
      <c r="M10" s="257">
        <v>17</v>
      </c>
      <c r="N10" s="257">
        <v>18</v>
      </c>
      <c r="O10" s="257">
        <v>19</v>
      </c>
      <c r="P10" s="257">
        <v>20</v>
      </c>
      <c r="Q10" s="257">
        <v>24</v>
      </c>
      <c r="R10" s="257">
        <v>25</v>
      </c>
      <c r="S10" s="257">
        <v>26</v>
      </c>
      <c r="T10" s="257">
        <v>27</v>
      </c>
      <c r="U10" s="257">
        <v>28</v>
      </c>
      <c r="V10" s="417"/>
      <c r="W10" s="417"/>
    </row>
    <row r="11" spans="1:23" s="423" customFormat="1" ht="36" customHeight="1">
      <c r="A11" s="259"/>
      <c r="B11" s="419" t="s">
        <v>228</v>
      </c>
      <c r="C11" s="420">
        <f>SUM(C12:C21)</f>
        <v>5515003</v>
      </c>
      <c r="D11" s="420">
        <f aca="true" t="shared" si="0" ref="D11:R11">SUM(D12:D21)</f>
        <v>313883</v>
      </c>
      <c r="E11" s="420">
        <f>SUM(E12:E21)</f>
        <v>5090837</v>
      </c>
      <c r="F11" s="420">
        <f t="shared" si="0"/>
        <v>3015502</v>
      </c>
      <c r="G11" s="420">
        <f t="shared" si="0"/>
        <v>3578</v>
      </c>
      <c r="H11" s="420">
        <f t="shared" si="0"/>
        <v>110283</v>
      </c>
      <c r="I11" s="109">
        <f>SUM(I12:I21)</f>
        <v>7185162.0079729995</v>
      </c>
      <c r="J11" s="109">
        <f t="shared" si="0"/>
        <v>419837.60610699997</v>
      </c>
      <c r="K11" s="109">
        <f t="shared" si="0"/>
        <v>5406053.918503</v>
      </c>
      <c r="L11" s="109">
        <f t="shared" si="0"/>
        <v>3172256.7372119995</v>
      </c>
      <c r="M11" s="109">
        <f t="shared" si="0"/>
        <v>3724.896021</v>
      </c>
      <c r="N11" s="109">
        <f>SUM(N12:N21)</f>
        <v>249183.346683</v>
      </c>
      <c r="O11" s="109">
        <f>SUM(O12:O21)</f>
        <v>180364.14887600002</v>
      </c>
      <c r="P11" s="109">
        <f t="shared" si="0"/>
        <v>68819.19780699999</v>
      </c>
      <c r="Q11" s="109">
        <f t="shared" si="0"/>
        <v>112771.258948</v>
      </c>
      <c r="R11" s="109">
        <f t="shared" si="0"/>
        <v>997315.8777319998</v>
      </c>
      <c r="S11" s="421">
        <f>I11/C11</f>
        <v>1.3028391839447775</v>
      </c>
      <c r="T11" s="421">
        <f aca="true" t="shared" si="1" ref="T11:T21">J11/D11</f>
        <v>1.337560830331684</v>
      </c>
      <c r="U11" s="421">
        <f aca="true" t="shared" si="2" ref="U11:U21">K11/E11</f>
        <v>1.0619184858016473</v>
      </c>
      <c r="V11" s="422"/>
      <c r="W11" s="422"/>
    </row>
    <row r="12" spans="1:23" s="254" customFormat="1" ht="36" customHeight="1">
      <c r="A12" s="440">
        <v>1</v>
      </c>
      <c r="B12" s="441" t="s">
        <v>74</v>
      </c>
      <c r="C12" s="442">
        <f>D12+E12+H12</f>
        <v>769083</v>
      </c>
      <c r="D12" s="442">
        <v>57282</v>
      </c>
      <c r="E12" s="442">
        <f>696331+90</f>
        <v>696421</v>
      </c>
      <c r="F12" s="442">
        <v>420177</v>
      </c>
      <c r="G12" s="442">
        <v>628</v>
      </c>
      <c r="H12" s="442">
        <v>15380</v>
      </c>
      <c r="I12" s="443">
        <f>J12+K12+N12+Q12+R12</f>
        <v>977121.2618749999</v>
      </c>
      <c r="J12" s="443">
        <f>55797.027426+2474.539</f>
        <v>58271.566426</v>
      </c>
      <c r="K12" s="443">
        <f>735736.276917+239.20065</f>
        <v>735975.477567</v>
      </c>
      <c r="L12" s="443">
        <v>431388.22609</v>
      </c>
      <c r="M12" s="443">
        <v>502.39816</v>
      </c>
      <c r="N12" s="443">
        <f>O12+P12</f>
        <v>8742.773417</v>
      </c>
      <c r="O12" s="443"/>
      <c r="P12" s="443">
        <v>8742.773417</v>
      </c>
      <c r="Q12" s="443">
        <v>11770.604185</v>
      </c>
      <c r="R12" s="443">
        <f>164121.120171-1760.279891</f>
        <v>162360.84027999997</v>
      </c>
      <c r="S12" s="444">
        <f aca="true" t="shared" si="3" ref="S12:S21">I12/C12</f>
        <v>1.2705017038148025</v>
      </c>
      <c r="T12" s="444">
        <f t="shared" si="1"/>
        <v>1.0172753469850913</v>
      </c>
      <c r="U12" s="444">
        <f t="shared" si="2"/>
        <v>1.0567967903997726</v>
      </c>
      <c r="V12" s="253"/>
      <c r="W12" s="253"/>
    </row>
    <row r="13" spans="1:23" s="254" customFormat="1" ht="36" customHeight="1">
      <c r="A13" s="440">
        <v>2</v>
      </c>
      <c r="B13" s="441" t="s">
        <v>72</v>
      </c>
      <c r="C13" s="442">
        <f aca="true" t="shared" si="4" ref="C13:C21">D13+E13+H13</f>
        <v>711818</v>
      </c>
      <c r="D13" s="442">
        <v>36634</v>
      </c>
      <c r="E13" s="442">
        <f>660807+144</f>
        <v>660951</v>
      </c>
      <c r="F13" s="442">
        <v>420715</v>
      </c>
      <c r="G13" s="442">
        <v>600</v>
      </c>
      <c r="H13" s="442">
        <v>14233</v>
      </c>
      <c r="I13" s="443">
        <f aca="true" t="shared" si="5" ref="I13:I26">J13+K13+N13+Q13+R13</f>
        <v>869768.0915879998</v>
      </c>
      <c r="J13" s="443">
        <f>38101.446567+102.859</f>
        <v>38204.305566999996</v>
      </c>
      <c r="K13" s="443">
        <f>707456.944299+3208.3335</f>
        <v>710665.2777989999</v>
      </c>
      <c r="L13" s="443">
        <v>443368.036804</v>
      </c>
      <c r="M13" s="443">
        <v>833.921583</v>
      </c>
      <c r="N13" s="443">
        <f>O13+P13</f>
        <v>28222.135248</v>
      </c>
      <c r="O13" s="443">
        <v>20516.849</v>
      </c>
      <c r="P13" s="443">
        <v>7705.286248</v>
      </c>
      <c r="Q13" s="443">
        <v>784.612736</v>
      </c>
      <c r="R13" s="443">
        <f>92007.160238-115.4</f>
        <v>91891.760238</v>
      </c>
      <c r="S13" s="444">
        <f t="shared" si="3"/>
        <v>1.2218967370704308</v>
      </c>
      <c r="T13" s="444">
        <f t="shared" si="1"/>
        <v>1.0428647040181251</v>
      </c>
      <c r="U13" s="444">
        <f t="shared" si="2"/>
        <v>1.075216283505131</v>
      </c>
      <c r="V13" s="253"/>
      <c r="W13" s="253"/>
    </row>
    <row r="14" spans="1:23" s="254" customFormat="1" ht="36" customHeight="1">
      <c r="A14" s="440">
        <v>3</v>
      </c>
      <c r="B14" s="441" t="s">
        <v>73</v>
      </c>
      <c r="C14" s="442">
        <f t="shared" si="4"/>
        <v>408744</v>
      </c>
      <c r="D14" s="442">
        <v>21836</v>
      </c>
      <c r="E14" s="442">
        <f>378663+72</f>
        <v>378735</v>
      </c>
      <c r="F14" s="442">
        <v>198797</v>
      </c>
      <c r="G14" s="442">
        <v>250</v>
      </c>
      <c r="H14" s="442">
        <v>8173</v>
      </c>
      <c r="I14" s="443">
        <f t="shared" si="5"/>
        <v>525190.39735</v>
      </c>
      <c r="J14" s="443">
        <v>15860.239683</v>
      </c>
      <c r="K14" s="443">
        <f>398614.357398+72</f>
        <v>398686.357398</v>
      </c>
      <c r="L14" s="443">
        <v>210686.801356</v>
      </c>
      <c r="M14" s="443">
        <v>238.0826</v>
      </c>
      <c r="N14" s="443">
        <f aca="true" t="shared" si="6" ref="N14:N21">O14+P14</f>
        <v>31859.107621</v>
      </c>
      <c r="O14" s="443">
        <v>26103.806</v>
      </c>
      <c r="P14" s="443">
        <v>5755.301621</v>
      </c>
      <c r="Q14" s="443">
        <v>3984.892611</v>
      </c>
      <c r="R14" s="443">
        <v>74799.800037</v>
      </c>
      <c r="S14" s="444">
        <f t="shared" si="3"/>
        <v>1.2848883343853366</v>
      </c>
      <c r="T14" s="444">
        <f t="shared" si="1"/>
        <v>0.7263344789796666</v>
      </c>
      <c r="U14" s="444">
        <f t="shared" si="2"/>
        <v>1.0526789375103964</v>
      </c>
      <c r="V14" s="253"/>
      <c r="W14" s="253"/>
    </row>
    <row r="15" spans="1:23" s="254" customFormat="1" ht="36" customHeight="1">
      <c r="A15" s="440">
        <v>4</v>
      </c>
      <c r="B15" s="441" t="s">
        <v>75</v>
      </c>
      <c r="C15" s="442">
        <f t="shared" si="4"/>
        <v>551711</v>
      </c>
      <c r="D15" s="442">
        <v>20087</v>
      </c>
      <c r="E15" s="442">
        <f>520519+72</f>
        <v>520591</v>
      </c>
      <c r="F15" s="442">
        <v>308936</v>
      </c>
      <c r="G15" s="442">
        <v>250</v>
      </c>
      <c r="H15" s="442">
        <v>11033</v>
      </c>
      <c r="I15" s="443">
        <f t="shared" si="5"/>
        <v>726689.01796</v>
      </c>
      <c r="J15" s="443">
        <v>27805.465876</v>
      </c>
      <c r="K15" s="443">
        <f>532846.410004+72</f>
        <v>532918.410004</v>
      </c>
      <c r="L15" s="443">
        <v>319843.147148</v>
      </c>
      <c r="M15" s="443">
        <v>250</v>
      </c>
      <c r="N15" s="443">
        <f t="shared" si="6"/>
        <v>30928.554654</v>
      </c>
      <c r="O15" s="443">
        <v>25818.8985</v>
      </c>
      <c r="P15" s="443">
        <v>5109.656154</v>
      </c>
      <c r="Q15" s="443">
        <v>1880.281128</v>
      </c>
      <c r="R15" s="443">
        <v>133156.306298</v>
      </c>
      <c r="S15" s="444">
        <f t="shared" si="3"/>
        <v>1.3171552098109336</v>
      </c>
      <c r="T15" s="444">
        <f t="shared" si="1"/>
        <v>1.3842517984766265</v>
      </c>
      <c r="U15" s="444">
        <f t="shared" si="2"/>
        <v>1.0236796448728462</v>
      </c>
      <c r="V15" s="253"/>
      <c r="W15" s="253"/>
    </row>
    <row r="16" spans="1:23" s="254" customFormat="1" ht="36" customHeight="1">
      <c r="A16" s="440">
        <v>5</v>
      </c>
      <c r="B16" s="441" t="s">
        <v>76</v>
      </c>
      <c r="C16" s="442">
        <f t="shared" si="4"/>
        <v>479299</v>
      </c>
      <c r="D16" s="442">
        <v>17553</v>
      </c>
      <c r="E16" s="442">
        <f>452089+72</f>
        <v>452161</v>
      </c>
      <c r="F16" s="442">
        <v>270370</v>
      </c>
      <c r="G16" s="442">
        <v>250</v>
      </c>
      <c r="H16" s="442">
        <v>9585</v>
      </c>
      <c r="I16" s="443">
        <f t="shared" si="5"/>
        <v>595834.006269</v>
      </c>
      <c r="J16" s="443">
        <v>13956.838493</v>
      </c>
      <c r="K16" s="443">
        <f>478954.724773+605.78125</f>
        <v>479560.506023</v>
      </c>
      <c r="L16" s="443">
        <v>283624.750718</v>
      </c>
      <c r="M16" s="443">
        <v>282.84484</v>
      </c>
      <c r="N16" s="443">
        <f t="shared" si="6"/>
        <v>33802.414571</v>
      </c>
      <c r="O16" s="443">
        <v>25373.276</v>
      </c>
      <c r="P16" s="443">
        <v>8429.138571</v>
      </c>
      <c r="Q16" s="443">
        <v>2622.682422</v>
      </c>
      <c r="R16" s="443">
        <f>66192.607877-301.043117</f>
        <v>65891.56476000001</v>
      </c>
      <c r="S16" s="444">
        <f t="shared" si="3"/>
        <v>1.2431363434286322</v>
      </c>
      <c r="T16" s="444">
        <f t="shared" si="1"/>
        <v>0.7951255336979434</v>
      </c>
      <c r="U16" s="444">
        <f t="shared" si="2"/>
        <v>1.060596791901557</v>
      </c>
      <c r="V16" s="253"/>
      <c r="W16" s="253"/>
    </row>
    <row r="17" spans="1:23" s="254" customFormat="1" ht="36" customHeight="1">
      <c r="A17" s="440">
        <v>6</v>
      </c>
      <c r="B17" s="441" t="s">
        <v>77</v>
      </c>
      <c r="C17" s="442">
        <f t="shared" si="4"/>
        <v>543022</v>
      </c>
      <c r="D17" s="442">
        <v>23507</v>
      </c>
      <c r="E17" s="442">
        <f>508584+72</f>
        <v>508656</v>
      </c>
      <c r="F17" s="442">
        <v>309021</v>
      </c>
      <c r="G17" s="442">
        <v>250</v>
      </c>
      <c r="H17" s="442">
        <v>10859</v>
      </c>
      <c r="I17" s="443">
        <f t="shared" si="5"/>
        <v>780900.538952</v>
      </c>
      <c r="J17" s="443">
        <v>20816.36146</v>
      </c>
      <c r="K17" s="443">
        <f>558312.242217+1809.7035</f>
        <v>560121.9457169999</v>
      </c>
      <c r="L17" s="443">
        <v>333570.005087</v>
      </c>
      <c r="M17" s="443">
        <v>279.86</v>
      </c>
      <c r="N17" s="443">
        <f t="shared" si="6"/>
        <v>49862.206917</v>
      </c>
      <c r="O17" s="443">
        <v>40860.633404</v>
      </c>
      <c r="P17" s="443">
        <v>9001.573513</v>
      </c>
      <c r="Q17" s="443">
        <v>11242.465009</v>
      </c>
      <c r="R17" s="443">
        <f>140100.694849-1243.135</f>
        <v>138857.55984899998</v>
      </c>
      <c r="S17" s="444">
        <f t="shared" si="3"/>
        <v>1.438064275392157</v>
      </c>
      <c r="T17" s="444">
        <f t="shared" si="1"/>
        <v>0.8855388377929978</v>
      </c>
      <c r="U17" s="444">
        <f t="shared" si="2"/>
        <v>1.1011802587937622</v>
      </c>
      <c r="V17" s="253"/>
      <c r="W17" s="253"/>
    </row>
    <row r="18" spans="1:23" s="254" customFormat="1" ht="36" customHeight="1">
      <c r="A18" s="440">
        <v>7</v>
      </c>
      <c r="B18" s="445" t="s">
        <v>78</v>
      </c>
      <c r="C18" s="442">
        <f t="shared" si="4"/>
        <v>656305</v>
      </c>
      <c r="D18" s="442">
        <v>19908</v>
      </c>
      <c r="E18" s="442">
        <f>623200+72</f>
        <v>623272</v>
      </c>
      <c r="F18" s="442">
        <v>396874</v>
      </c>
      <c r="G18" s="442">
        <v>250</v>
      </c>
      <c r="H18" s="442">
        <v>13125</v>
      </c>
      <c r="I18" s="443">
        <f t="shared" si="5"/>
        <v>801233.393285</v>
      </c>
      <c r="J18" s="443">
        <v>20971.520145</v>
      </c>
      <c r="K18" s="443">
        <f>656613.434203+425.85</f>
        <v>657039.284203</v>
      </c>
      <c r="L18" s="443">
        <v>419858.351</v>
      </c>
      <c r="M18" s="443">
        <v>197.475</v>
      </c>
      <c r="N18" s="443">
        <f t="shared" si="6"/>
        <v>31619.679799999998</v>
      </c>
      <c r="O18" s="443">
        <v>19282.083</v>
      </c>
      <c r="P18" s="443">
        <v>12337.5968</v>
      </c>
      <c r="Q18" s="443">
        <v>15545.490294</v>
      </c>
      <c r="R18" s="443">
        <v>76057.418843</v>
      </c>
      <c r="S18" s="444">
        <f t="shared" si="3"/>
        <v>1.22082475874022</v>
      </c>
      <c r="T18" s="444">
        <f t="shared" si="1"/>
        <v>1.0534217472875225</v>
      </c>
      <c r="U18" s="444">
        <f t="shared" si="2"/>
        <v>1.0541774445234184</v>
      </c>
      <c r="V18" s="253"/>
      <c r="W18" s="253"/>
    </row>
    <row r="19" spans="1:23" s="254" customFormat="1" ht="36" customHeight="1">
      <c r="A19" s="440">
        <v>8</v>
      </c>
      <c r="B19" s="441" t="s">
        <v>79</v>
      </c>
      <c r="C19" s="442">
        <f t="shared" si="4"/>
        <v>686987</v>
      </c>
      <c r="D19" s="442">
        <v>87368</v>
      </c>
      <c r="E19" s="442">
        <f>585738+144</f>
        <v>585882</v>
      </c>
      <c r="F19" s="442">
        <v>298752</v>
      </c>
      <c r="G19" s="442">
        <v>600</v>
      </c>
      <c r="H19" s="442">
        <v>13737</v>
      </c>
      <c r="I19" s="443">
        <f t="shared" si="5"/>
        <v>971856.5963300001</v>
      </c>
      <c r="J19" s="443">
        <f>189232.085239+976.955976</f>
        <v>190209.041215</v>
      </c>
      <c r="K19" s="443">
        <f>607062.774312+144</f>
        <v>607206.774312</v>
      </c>
      <c r="L19" s="443">
        <v>319214.15128</v>
      </c>
      <c r="M19" s="443">
        <v>625.913838</v>
      </c>
      <c r="N19" s="443">
        <f t="shared" si="6"/>
        <v>12832.256641</v>
      </c>
      <c r="O19" s="443">
        <v>12079.669707</v>
      </c>
      <c r="P19" s="443">
        <v>752.586934</v>
      </c>
      <c r="Q19" s="443">
        <v>49209.210539</v>
      </c>
      <c r="R19" s="443">
        <f>113214.710059-815.396436</f>
        <v>112399.31362300001</v>
      </c>
      <c r="S19" s="444">
        <f t="shared" si="3"/>
        <v>1.4146651921069833</v>
      </c>
      <c r="T19" s="444">
        <f t="shared" si="1"/>
        <v>2.177101927650856</v>
      </c>
      <c r="U19" s="444">
        <f t="shared" si="2"/>
        <v>1.036397729085379</v>
      </c>
      <c r="V19" s="253"/>
      <c r="W19" s="253"/>
    </row>
    <row r="20" spans="1:23" s="254" customFormat="1" ht="36" customHeight="1">
      <c r="A20" s="440">
        <v>9</v>
      </c>
      <c r="B20" s="441" t="s">
        <v>80</v>
      </c>
      <c r="C20" s="442">
        <f t="shared" si="4"/>
        <v>128483</v>
      </c>
      <c r="D20" s="442">
        <v>6979</v>
      </c>
      <c r="E20" s="442">
        <f>118846+90</f>
        <v>118936</v>
      </c>
      <c r="F20" s="442">
        <v>50389</v>
      </c>
      <c r="G20" s="442">
        <v>250</v>
      </c>
      <c r="H20" s="442">
        <v>2568</v>
      </c>
      <c r="I20" s="443">
        <f t="shared" si="5"/>
        <v>165277.15536799998</v>
      </c>
      <c r="J20" s="443">
        <v>11544.135171</v>
      </c>
      <c r="K20" s="443">
        <f>124135.820705+90</f>
        <v>124225.820705</v>
      </c>
      <c r="L20" s="443">
        <v>49862.196234</v>
      </c>
      <c r="M20" s="443">
        <v>250</v>
      </c>
      <c r="N20" s="443">
        <f t="shared" si="6"/>
        <v>4969.951465</v>
      </c>
      <c r="O20" s="443">
        <v>2176.467265</v>
      </c>
      <c r="P20" s="443">
        <v>2793.4842</v>
      </c>
      <c r="Q20" s="443">
        <v>785.67298</v>
      </c>
      <c r="R20" s="443">
        <v>23751.575047</v>
      </c>
      <c r="S20" s="444">
        <f t="shared" si="3"/>
        <v>1.2863737254578425</v>
      </c>
      <c r="T20" s="444">
        <f t="shared" si="1"/>
        <v>1.6541245409084395</v>
      </c>
      <c r="U20" s="444">
        <f t="shared" si="2"/>
        <v>1.0444761948022467</v>
      </c>
      <c r="V20" s="253"/>
      <c r="W20" s="253"/>
    </row>
    <row r="21" spans="1:23" s="254" customFormat="1" ht="36" customHeight="1">
      <c r="A21" s="446">
        <v>10</v>
      </c>
      <c r="B21" s="447" t="s">
        <v>81</v>
      </c>
      <c r="C21" s="448">
        <f t="shared" si="4"/>
        <v>579551</v>
      </c>
      <c r="D21" s="448">
        <v>22729</v>
      </c>
      <c r="E21" s="448">
        <f>545160+72</f>
        <v>545232</v>
      </c>
      <c r="F21" s="448">
        <v>341471</v>
      </c>
      <c r="G21" s="448">
        <v>250</v>
      </c>
      <c r="H21" s="448">
        <v>11590</v>
      </c>
      <c r="I21" s="449">
        <f t="shared" si="5"/>
        <v>771291.548996</v>
      </c>
      <c r="J21" s="449">
        <v>22198.132071</v>
      </c>
      <c r="K21" s="449">
        <f>597339.820575+2314.2442</f>
        <v>599654.064775</v>
      </c>
      <c r="L21" s="449">
        <v>360841.071495</v>
      </c>
      <c r="M21" s="449">
        <v>264.4</v>
      </c>
      <c r="N21" s="449">
        <f t="shared" si="6"/>
        <v>16344.266349000001</v>
      </c>
      <c r="O21" s="449">
        <v>8152.466</v>
      </c>
      <c r="P21" s="449">
        <v>8191.800349</v>
      </c>
      <c r="Q21" s="449">
        <v>14945.347044</v>
      </c>
      <c r="R21" s="449">
        <f>120487.06309-2337.324333</f>
        <v>118149.738757</v>
      </c>
      <c r="S21" s="450">
        <f t="shared" si="3"/>
        <v>1.3308432717672818</v>
      </c>
      <c r="T21" s="450">
        <f t="shared" si="1"/>
        <v>0.976643586211448</v>
      </c>
      <c r="U21" s="450">
        <f t="shared" si="2"/>
        <v>1.0998145097408076</v>
      </c>
      <c r="V21" s="253"/>
      <c r="W21" s="253"/>
    </row>
    <row r="22" spans="1:18" ht="15.75" hidden="1">
      <c r="A22" s="424"/>
      <c r="I22" s="428">
        <f t="shared" si="5"/>
        <v>5031782.777439</v>
      </c>
      <c r="J22" s="412">
        <v>109677.962368</v>
      </c>
      <c r="K22" s="412">
        <v>4380247.195475</v>
      </c>
      <c r="L22" s="411">
        <v>2584059.029823</v>
      </c>
      <c r="M22" s="411">
        <v>3792.650341</v>
      </c>
      <c r="O22" s="411">
        <v>348764.606799</v>
      </c>
      <c r="P22" s="411">
        <v>125594.582624</v>
      </c>
      <c r="Q22" s="412">
        <v>52875.735815</v>
      </c>
      <c r="R22" s="412">
        <v>488981.883781</v>
      </c>
    </row>
    <row r="23" spans="1:23" s="126" customFormat="1" ht="15.75" hidden="1">
      <c r="A23" s="427"/>
      <c r="C23" s="410"/>
      <c r="D23" s="410"/>
      <c r="E23" s="410"/>
      <c r="F23" s="410"/>
      <c r="G23" s="410"/>
      <c r="H23" s="410"/>
      <c r="I23" s="146">
        <f t="shared" si="5"/>
        <v>2153379.2305340003</v>
      </c>
      <c r="J23" s="411">
        <f>J11-J22</f>
        <v>310159.64373899996</v>
      </c>
      <c r="K23" s="411">
        <f>K11-K22</f>
        <v>1025806.7230280004</v>
      </c>
      <c r="L23" s="411">
        <f>L11-L22</f>
        <v>588197.7073889994</v>
      </c>
      <c r="M23" s="411">
        <f aca="true" t="shared" si="7" ref="M23:R23">SUM(M11-M22)</f>
        <v>-67.75432</v>
      </c>
      <c r="N23" s="411">
        <f t="shared" si="7"/>
        <v>249183.346683</v>
      </c>
      <c r="O23" s="411">
        <f t="shared" si="7"/>
        <v>-168400.45792299998</v>
      </c>
      <c r="P23" s="411">
        <f t="shared" si="7"/>
        <v>-56775.38481700001</v>
      </c>
      <c r="Q23" s="411">
        <f t="shared" si="7"/>
        <v>59895.523133</v>
      </c>
      <c r="R23" s="411">
        <f t="shared" si="7"/>
        <v>508333.99395099987</v>
      </c>
      <c r="S23" s="426"/>
      <c r="T23" s="426"/>
      <c r="U23" s="426"/>
      <c r="V23" s="426"/>
      <c r="W23" s="426"/>
    </row>
    <row r="24" spans="1:9" ht="15.75" hidden="1">
      <c r="A24" s="427"/>
      <c r="I24" s="146">
        <f t="shared" si="5"/>
        <v>0</v>
      </c>
    </row>
    <row r="25" spans="1:9" ht="15.75" hidden="1">
      <c r="A25" s="427"/>
      <c r="I25" s="146">
        <f t="shared" si="5"/>
        <v>0</v>
      </c>
    </row>
    <row r="26" ht="15" hidden="1">
      <c r="I26" s="146">
        <f t="shared" si="5"/>
        <v>0</v>
      </c>
    </row>
  </sheetData>
  <sheetProtection/>
  <mergeCells count="29">
    <mergeCell ref="S6:U6"/>
    <mergeCell ref="R7:R9"/>
    <mergeCell ref="E7:G7"/>
    <mergeCell ref="E8:E9"/>
    <mergeCell ref="F8:G8"/>
    <mergeCell ref="H7:H9"/>
    <mergeCell ref="I7:I9"/>
    <mergeCell ref="I6:R6"/>
    <mergeCell ref="S7:S9"/>
    <mergeCell ref="R5:U5"/>
    <mergeCell ref="O8:P8"/>
    <mergeCell ref="D7:D9"/>
    <mergeCell ref="K7:M7"/>
    <mergeCell ref="C6:H6"/>
    <mergeCell ref="N7:P7"/>
    <mergeCell ref="N8:N9"/>
    <mergeCell ref="K8:K9"/>
    <mergeCell ref="A5:L5"/>
    <mergeCell ref="A6:A9"/>
    <mergeCell ref="C7:C9"/>
    <mergeCell ref="Q7:Q9"/>
    <mergeCell ref="J7:J9"/>
    <mergeCell ref="R1:U1"/>
    <mergeCell ref="B6:B9"/>
    <mergeCell ref="T7:T9"/>
    <mergeCell ref="U7:U9"/>
    <mergeCell ref="A2:U2"/>
    <mergeCell ref="L8:M8"/>
    <mergeCell ref="A3:U3"/>
  </mergeCells>
  <printOptions horizontalCentered="1"/>
  <pageMargins left="0" right="0" top="0.4724409448818898" bottom="0" header="0.4724409448818898" footer="0.31496062992125984"/>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tabColor theme="0"/>
  </sheetPr>
  <dimension ref="A1:Z34"/>
  <sheetViews>
    <sheetView view="pageBreakPreview" zoomScaleNormal="90" zoomScaleSheetLayoutView="100" zoomScalePageLayoutView="0" workbookViewId="0" topLeftCell="D1">
      <selection activeCell="T7" sqref="T7:T9"/>
    </sheetView>
  </sheetViews>
  <sheetFormatPr defaultColWidth="9.140625" defaultRowHeight="15"/>
  <cols>
    <col min="1" max="1" width="4.140625" style="56" customWidth="1"/>
    <col min="2" max="2" width="19.28125" style="7" bestFit="1" customWidth="1"/>
    <col min="3" max="3" width="8.57421875" style="7" customWidth="1"/>
    <col min="4" max="4" width="8.8515625" style="7" customWidth="1"/>
    <col min="5" max="5" width="6.7109375" style="7" customWidth="1"/>
    <col min="6" max="7" width="6.421875" style="7" customWidth="1"/>
    <col min="8" max="8" width="7.140625" style="7" customWidth="1"/>
    <col min="9" max="9" width="7.421875" style="7" customWidth="1"/>
    <col min="10" max="10" width="7.28125" style="7" customWidth="1"/>
    <col min="11" max="12" width="11.140625" style="15" customWidth="1"/>
    <col min="13" max="13" width="9.8515625" style="15" customWidth="1"/>
    <col min="14" max="14" width="6.7109375" style="15" customWidth="1"/>
    <col min="15" max="15" width="10.00390625" style="15" customWidth="1"/>
    <col min="16" max="16" width="8.421875" style="15" customWidth="1"/>
    <col min="17" max="17" width="9.57421875" style="15" customWidth="1"/>
    <col min="18" max="18" width="9.7109375" style="15" customWidth="1"/>
    <col min="19" max="19" width="6.421875" style="7" customWidth="1"/>
    <col min="20" max="20" width="6.28125" style="7" customWidth="1"/>
    <col min="21" max="21" width="8.421875" style="7" customWidth="1"/>
    <col min="22" max="22" width="5.7109375" style="7" customWidth="1"/>
    <col min="23" max="23" width="8.28125" style="7" customWidth="1"/>
    <col min="24" max="24" width="7.421875" style="7" customWidth="1"/>
    <col min="25" max="25" width="8.57421875" style="7" customWidth="1"/>
    <col min="26" max="26" width="7.140625" style="7" customWidth="1"/>
    <col min="27" max="16384" width="9.140625" style="7" customWidth="1"/>
  </cols>
  <sheetData>
    <row r="1" spans="24:26" ht="16.5">
      <c r="X1" s="465" t="s">
        <v>47</v>
      </c>
      <c r="Y1" s="465"/>
      <c r="Z1" s="465"/>
    </row>
    <row r="2" spans="1:26" ht="16.5">
      <c r="A2" s="472" t="s">
        <v>388</v>
      </c>
      <c r="B2" s="472"/>
      <c r="C2" s="472"/>
      <c r="D2" s="472"/>
      <c r="E2" s="472"/>
      <c r="F2" s="472"/>
      <c r="G2" s="472"/>
      <c r="H2" s="472"/>
      <c r="I2" s="472"/>
      <c r="J2" s="472"/>
      <c r="K2" s="472"/>
      <c r="L2" s="472"/>
      <c r="M2" s="472"/>
      <c r="N2" s="472"/>
      <c r="O2" s="472"/>
      <c r="P2" s="472"/>
      <c r="Q2" s="472"/>
      <c r="R2" s="472"/>
      <c r="S2" s="472"/>
      <c r="T2" s="472"/>
      <c r="U2" s="472"/>
      <c r="V2" s="472"/>
      <c r="W2" s="472"/>
      <c r="X2" s="472"/>
      <c r="Y2" s="472"/>
      <c r="Z2" s="472"/>
    </row>
    <row r="3" spans="1:26" ht="16.5">
      <c r="A3" s="467" t="str">
        <f>'58'!A3:U3</f>
        <v>(Kèm theo Nghị quyết số      /NQ-HĐND ngày      tháng  6 năm 2024 của HĐND tỉnh Điện Biên)</v>
      </c>
      <c r="B3" s="467"/>
      <c r="C3" s="467"/>
      <c r="D3" s="467"/>
      <c r="E3" s="467"/>
      <c r="F3" s="467"/>
      <c r="G3" s="467"/>
      <c r="H3" s="467"/>
      <c r="I3" s="467"/>
      <c r="J3" s="467"/>
      <c r="K3" s="467"/>
      <c r="L3" s="467"/>
      <c r="M3" s="467"/>
      <c r="N3" s="467"/>
      <c r="O3" s="467"/>
      <c r="P3" s="467"/>
      <c r="Q3" s="467"/>
      <c r="R3" s="467"/>
      <c r="S3" s="467"/>
      <c r="T3" s="467"/>
      <c r="U3" s="467"/>
      <c r="V3" s="467"/>
      <c r="W3" s="467"/>
      <c r="X3" s="467"/>
      <c r="Y3" s="467"/>
      <c r="Z3" s="467"/>
    </row>
    <row r="4" spans="1:26" ht="18.75">
      <c r="A4" s="299"/>
      <c r="B4" s="299"/>
      <c r="C4" s="299"/>
      <c r="D4" s="299"/>
      <c r="E4" s="299"/>
      <c r="F4" s="299"/>
      <c r="G4" s="299"/>
      <c r="H4" s="299"/>
      <c r="I4" s="299"/>
      <c r="J4" s="299"/>
      <c r="K4" s="264"/>
      <c r="L4" s="264"/>
      <c r="M4" s="264"/>
      <c r="N4" s="264"/>
      <c r="O4" s="264"/>
      <c r="P4" s="264"/>
      <c r="Q4" s="264"/>
      <c r="R4" s="264"/>
      <c r="S4" s="299"/>
      <c r="T4" s="299"/>
      <c r="U4" s="299"/>
      <c r="V4" s="299"/>
      <c r="W4" s="299"/>
      <c r="X4" s="299"/>
      <c r="Y4" s="299"/>
      <c r="Z4" s="299"/>
    </row>
    <row r="5" spans="10:26" ht="16.5">
      <c r="J5" s="27"/>
      <c r="X5" s="485" t="s">
        <v>117</v>
      </c>
      <c r="Y5" s="485"/>
      <c r="Z5" s="485"/>
    </row>
    <row r="6" spans="1:26" ht="27" customHeight="1">
      <c r="A6" s="511" t="s">
        <v>113</v>
      </c>
      <c r="B6" s="511" t="s">
        <v>54</v>
      </c>
      <c r="C6" s="511" t="s">
        <v>8</v>
      </c>
      <c r="D6" s="511"/>
      <c r="E6" s="511"/>
      <c r="F6" s="511"/>
      <c r="G6" s="511"/>
      <c r="H6" s="511"/>
      <c r="I6" s="511"/>
      <c r="J6" s="511"/>
      <c r="K6" s="516" t="s">
        <v>37</v>
      </c>
      <c r="L6" s="516"/>
      <c r="M6" s="516"/>
      <c r="N6" s="516"/>
      <c r="O6" s="516"/>
      <c r="P6" s="516"/>
      <c r="Q6" s="516"/>
      <c r="R6" s="516"/>
      <c r="S6" s="511" t="s">
        <v>48</v>
      </c>
      <c r="T6" s="511"/>
      <c r="U6" s="511"/>
      <c r="V6" s="511"/>
      <c r="W6" s="511"/>
      <c r="X6" s="511"/>
      <c r="Y6" s="511"/>
      <c r="Z6" s="511"/>
    </row>
    <row r="7" spans="1:26" ht="29.25" customHeight="1">
      <c r="A7" s="511"/>
      <c r="B7" s="511"/>
      <c r="C7" s="511" t="s">
        <v>227</v>
      </c>
      <c r="D7" s="511" t="s">
        <v>41</v>
      </c>
      <c r="E7" s="511" t="s">
        <v>42</v>
      </c>
      <c r="F7" s="511"/>
      <c r="G7" s="511"/>
      <c r="H7" s="511"/>
      <c r="I7" s="511"/>
      <c r="J7" s="511"/>
      <c r="K7" s="516" t="s">
        <v>227</v>
      </c>
      <c r="L7" s="516" t="s">
        <v>41</v>
      </c>
      <c r="M7" s="516" t="s">
        <v>42</v>
      </c>
      <c r="N7" s="516"/>
      <c r="O7" s="516"/>
      <c r="P7" s="516"/>
      <c r="Q7" s="516"/>
      <c r="R7" s="516"/>
      <c r="S7" s="511" t="s">
        <v>227</v>
      </c>
      <c r="T7" s="511" t="s">
        <v>41</v>
      </c>
      <c r="U7" s="511" t="s">
        <v>42</v>
      </c>
      <c r="V7" s="511"/>
      <c r="W7" s="511"/>
      <c r="X7" s="511"/>
      <c r="Y7" s="511"/>
      <c r="Z7" s="511"/>
    </row>
    <row r="8" spans="1:26" ht="24.75" customHeight="1">
      <c r="A8" s="511"/>
      <c r="B8" s="511"/>
      <c r="C8" s="511"/>
      <c r="D8" s="511"/>
      <c r="E8" s="511" t="s">
        <v>227</v>
      </c>
      <c r="F8" s="511" t="s">
        <v>49</v>
      </c>
      <c r="G8" s="511"/>
      <c r="H8" s="511" t="s">
        <v>50</v>
      </c>
      <c r="I8" s="511" t="s">
        <v>147</v>
      </c>
      <c r="J8" s="511" t="s">
        <v>51</v>
      </c>
      <c r="K8" s="516"/>
      <c r="L8" s="516"/>
      <c r="M8" s="516" t="s">
        <v>227</v>
      </c>
      <c r="N8" s="516" t="s">
        <v>49</v>
      </c>
      <c r="O8" s="516"/>
      <c r="P8" s="516" t="s">
        <v>50</v>
      </c>
      <c r="Q8" s="516" t="s">
        <v>147</v>
      </c>
      <c r="R8" s="516" t="s">
        <v>51</v>
      </c>
      <c r="S8" s="511"/>
      <c r="T8" s="511"/>
      <c r="U8" s="511" t="s">
        <v>227</v>
      </c>
      <c r="V8" s="511" t="s">
        <v>49</v>
      </c>
      <c r="W8" s="511"/>
      <c r="X8" s="511" t="s">
        <v>50</v>
      </c>
      <c r="Y8" s="511" t="s">
        <v>148</v>
      </c>
      <c r="Z8" s="511" t="s">
        <v>51</v>
      </c>
    </row>
    <row r="9" spans="1:26" ht="102.75" customHeight="1">
      <c r="A9" s="511"/>
      <c r="B9" s="511"/>
      <c r="C9" s="511"/>
      <c r="D9" s="511"/>
      <c r="E9" s="511"/>
      <c r="F9" s="26" t="s">
        <v>71</v>
      </c>
      <c r="G9" s="26" t="s">
        <v>230</v>
      </c>
      <c r="H9" s="511"/>
      <c r="I9" s="511"/>
      <c r="J9" s="511"/>
      <c r="K9" s="516"/>
      <c r="L9" s="516"/>
      <c r="M9" s="516"/>
      <c r="N9" s="47" t="s">
        <v>71</v>
      </c>
      <c r="O9" s="47" t="s">
        <v>230</v>
      </c>
      <c r="P9" s="516"/>
      <c r="Q9" s="516"/>
      <c r="R9" s="516"/>
      <c r="S9" s="511"/>
      <c r="T9" s="511"/>
      <c r="U9" s="511"/>
      <c r="V9" s="26" t="s">
        <v>71</v>
      </c>
      <c r="W9" s="26" t="s">
        <v>230</v>
      </c>
      <c r="X9" s="511"/>
      <c r="Y9" s="511"/>
      <c r="Z9" s="511"/>
    </row>
    <row r="10" spans="1:26" s="38" customFormat="1" ht="24" customHeight="1">
      <c r="A10" s="134" t="s">
        <v>115</v>
      </c>
      <c r="B10" s="134" t="s">
        <v>116</v>
      </c>
      <c r="C10" s="134">
        <v>1</v>
      </c>
      <c r="D10" s="134">
        <v>2</v>
      </c>
      <c r="E10" s="134" t="s">
        <v>52</v>
      </c>
      <c r="F10" s="134">
        <v>4</v>
      </c>
      <c r="G10" s="134">
        <v>5</v>
      </c>
      <c r="H10" s="134">
        <v>6</v>
      </c>
      <c r="I10" s="134">
        <v>7</v>
      </c>
      <c r="J10" s="134">
        <v>8</v>
      </c>
      <c r="K10" s="135">
        <v>9</v>
      </c>
      <c r="L10" s="135">
        <v>10</v>
      </c>
      <c r="M10" s="135" t="s">
        <v>131</v>
      </c>
      <c r="N10" s="135">
        <v>12</v>
      </c>
      <c r="O10" s="135">
        <v>13</v>
      </c>
      <c r="P10" s="135">
        <v>14</v>
      </c>
      <c r="Q10" s="135">
        <v>15</v>
      </c>
      <c r="R10" s="135">
        <v>16</v>
      </c>
      <c r="S10" s="134">
        <v>17</v>
      </c>
      <c r="T10" s="134">
        <v>18</v>
      </c>
      <c r="U10" s="134">
        <v>19</v>
      </c>
      <c r="V10" s="134">
        <v>20</v>
      </c>
      <c r="W10" s="134">
        <v>21</v>
      </c>
      <c r="X10" s="134">
        <v>22</v>
      </c>
      <c r="Y10" s="134">
        <v>23</v>
      </c>
      <c r="Z10" s="134">
        <v>24</v>
      </c>
    </row>
    <row r="11" spans="1:26" s="136" customFormat="1" ht="37.5" customHeight="1">
      <c r="A11" s="34"/>
      <c r="B11" s="36" t="s">
        <v>228</v>
      </c>
      <c r="C11" s="37">
        <f>SUM(C12:C21)</f>
        <v>4987703</v>
      </c>
      <c r="D11" s="37">
        <f aca="true" t="shared" si="0" ref="D11:J11">SUM(D12:D21)</f>
        <v>4986803</v>
      </c>
      <c r="E11" s="37">
        <f t="shared" si="0"/>
        <v>900</v>
      </c>
      <c r="F11" s="37">
        <f t="shared" si="0"/>
        <v>0</v>
      </c>
      <c r="G11" s="37">
        <f t="shared" si="0"/>
        <v>900</v>
      </c>
      <c r="H11" s="37">
        <f t="shared" si="0"/>
        <v>0</v>
      </c>
      <c r="I11" s="37">
        <f>SUM(I12:I21)</f>
        <v>900</v>
      </c>
      <c r="J11" s="37">
        <f t="shared" si="0"/>
        <v>0</v>
      </c>
      <c r="K11" s="35">
        <f>SUM(K12:K21)</f>
        <v>5842356.866992</v>
      </c>
      <c r="L11" s="109">
        <f>SUM(L12:L21)</f>
        <v>4986803</v>
      </c>
      <c r="M11" s="35">
        <f aca="true" t="shared" si="1" ref="M11:R11">SUM(M12:M21)</f>
        <v>855553.8669919999</v>
      </c>
      <c r="N11" s="35">
        <f t="shared" si="1"/>
        <v>0</v>
      </c>
      <c r="O11" s="35">
        <f t="shared" si="1"/>
        <v>855553.8669919999</v>
      </c>
      <c r="P11" s="35">
        <f t="shared" si="1"/>
        <v>10718.189992</v>
      </c>
      <c r="Q11" s="35">
        <f t="shared" si="1"/>
        <v>248895</v>
      </c>
      <c r="R11" s="35">
        <f t="shared" si="1"/>
        <v>595940.677</v>
      </c>
      <c r="S11" s="42">
        <f>K11/C11</f>
        <v>1.1713521969916814</v>
      </c>
      <c r="T11" s="42">
        <f>L11/D11</f>
        <v>1</v>
      </c>
      <c r="U11" s="42">
        <f>M11/E11</f>
        <v>950.6154077688888</v>
      </c>
      <c r="V11" s="42"/>
      <c r="W11" s="42">
        <f>O11/G11</f>
        <v>950.6154077688888</v>
      </c>
      <c r="X11" s="42"/>
      <c r="Y11" s="42">
        <f>Q11/I11</f>
        <v>276.55</v>
      </c>
      <c r="Z11" s="42"/>
    </row>
    <row r="12" spans="1:26" s="137" customFormat="1" ht="36" customHeight="1">
      <c r="A12" s="57">
        <v>1</v>
      </c>
      <c r="B12" s="51" t="s">
        <v>74</v>
      </c>
      <c r="C12" s="52">
        <f>SUM(D12:E12)</f>
        <v>667488</v>
      </c>
      <c r="D12" s="52">
        <v>667398</v>
      </c>
      <c r="E12" s="52">
        <f>F12+G12</f>
        <v>90</v>
      </c>
      <c r="F12" s="52"/>
      <c r="G12" s="52">
        <v>90</v>
      </c>
      <c r="H12" s="52"/>
      <c r="I12" s="52">
        <v>90</v>
      </c>
      <c r="J12" s="52"/>
      <c r="K12" s="53">
        <f>SUM(L12:M12)</f>
        <v>769901</v>
      </c>
      <c r="L12" s="146">
        <v>667398</v>
      </c>
      <c r="M12" s="53">
        <f>N12+O12</f>
        <v>102503</v>
      </c>
      <c r="N12" s="53"/>
      <c r="O12" s="53">
        <v>102503</v>
      </c>
      <c r="P12" s="53"/>
      <c r="Q12" s="53">
        <f>O12-P12-R12</f>
        <v>25729</v>
      </c>
      <c r="R12" s="53">
        <v>76774</v>
      </c>
      <c r="S12" s="54">
        <f aca="true" t="shared" si="2" ref="S12:Y12">K12/C12</f>
        <v>1.1534304736564553</v>
      </c>
      <c r="T12" s="54">
        <f t="shared" si="2"/>
        <v>1</v>
      </c>
      <c r="U12" s="54">
        <f>M12/E12</f>
        <v>1138.9222222222222</v>
      </c>
      <c r="V12" s="54"/>
      <c r="W12" s="54">
        <f>O12/G12</f>
        <v>1138.9222222222222</v>
      </c>
      <c r="X12" s="54"/>
      <c r="Y12" s="54">
        <f t="shared" si="2"/>
        <v>285.8777777777778</v>
      </c>
      <c r="Z12" s="54"/>
    </row>
    <row r="13" spans="1:26" s="24" customFormat="1" ht="36" customHeight="1">
      <c r="A13" s="31">
        <v>2</v>
      </c>
      <c r="B13" s="32" t="s">
        <v>72</v>
      </c>
      <c r="C13" s="43">
        <f aca="true" t="shared" si="3" ref="C13:C21">SUM(D13:E13)</f>
        <v>664673</v>
      </c>
      <c r="D13" s="43">
        <v>664529</v>
      </c>
      <c r="E13" s="52">
        <f aca="true" t="shared" si="4" ref="E13:E21">F13+G13</f>
        <v>144</v>
      </c>
      <c r="F13" s="43"/>
      <c r="G13" s="43">
        <v>144</v>
      </c>
      <c r="H13" s="43"/>
      <c r="I13" s="43">
        <v>144</v>
      </c>
      <c r="J13" s="43"/>
      <c r="K13" s="33">
        <f>SUM(L13:M13)</f>
        <v>778090.147</v>
      </c>
      <c r="L13" s="48">
        <v>664529</v>
      </c>
      <c r="M13" s="53">
        <f aca="true" t="shared" si="5" ref="M13:M21">N13+O13</f>
        <v>113561.147</v>
      </c>
      <c r="N13" s="33"/>
      <c r="O13" s="53">
        <v>113561.147</v>
      </c>
      <c r="P13" s="33">
        <v>2500</v>
      </c>
      <c r="Q13" s="53">
        <f aca="true" t="shared" si="6" ref="Q13:Q21">O13-P13-R13</f>
        <v>37607</v>
      </c>
      <c r="R13" s="33">
        <v>73454.147</v>
      </c>
      <c r="S13" s="44">
        <f aca="true" t="shared" si="7" ref="S13:S21">K13/C13</f>
        <v>1.17063600748037</v>
      </c>
      <c r="T13" s="44">
        <f aca="true" t="shared" si="8" ref="T13:T21">L13/D13</f>
        <v>1</v>
      </c>
      <c r="U13" s="44">
        <f aca="true" t="shared" si="9" ref="U13:U21">M13/E13</f>
        <v>788.6190763888889</v>
      </c>
      <c r="V13" s="54"/>
      <c r="W13" s="44">
        <f aca="true" t="shared" si="10" ref="W13:W21">O13/G13</f>
        <v>788.6190763888889</v>
      </c>
      <c r="X13" s="54"/>
      <c r="Y13" s="44">
        <f aca="true" t="shared" si="11" ref="Y13:Y20">Q13/I13</f>
        <v>261.15972222222223</v>
      </c>
      <c r="Z13" s="44"/>
    </row>
    <row r="14" spans="1:26" s="24" customFormat="1" ht="36" customHeight="1">
      <c r="A14" s="31">
        <v>3</v>
      </c>
      <c r="B14" s="32" t="s">
        <v>73</v>
      </c>
      <c r="C14" s="43">
        <f t="shared" si="3"/>
        <v>388844</v>
      </c>
      <c r="D14" s="43">
        <v>388772</v>
      </c>
      <c r="E14" s="52">
        <f t="shared" si="4"/>
        <v>72</v>
      </c>
      <c r="F14" s="43"/>
      <c r="G14" s="43">
        <v>72</v>
      </c>
      <c r="H14" s="43"/>
      <c r="I14" s="43">
        <v>72</v>
      </c>
      <c r="J14" s="43"/>
      <c r="K14" s="33">
        <f aca="true" t="shared" si="12" ref="K14:K21">SUM(L14:M14)</f>
        <v>473928</v>
      </c>
      <c r="L14" s="48">
        <v>388772</v>
      </c>
      <c r="M14" s="53">
        <f t="shared" si="5"/>
        <v>85156</v>
      </c>
      <c r="N14" s="33"/>
      <c r="O14" s="53">
        <v>85156</v>
      </c>
      <c r="P14" s="33"/>
      <c r="Q14" s="53">
        <f t="shared" si="6"/>
        <v>22162</v>
      </c>
      <c r="R14" s="33">
        <v>62994</v>
      </c>
      <c r="S14" s="44">
        <f t="shared" si="7"/>
        <v>1.2188126858071617</v>
      </c>
      <c r="T14" s="44">
        <f t="shared" si="8"/>
        <v>1</v>
      </c>
      <c r="U14" s="44">
        <f t="shared" si="9"/>
        <v>1182.7222222222222</v>
      </c>
      <c r="V14" s="54"/>
      <c r="W14" s="44">
        <f t="shared" si="10"/>
        <v>1182.7222222222222</v>
      </c>
      <c r="X14" s="54"/>
      <c r="Y14" s="44">
        <f t="shared" si="11"/>
        <v>307.80555555555554</v>
      </c>
      <c r="Z14" s="44"/>
    </row>
    <row r="15" spans="1:26" s="24" customFormat="1" ht="36" customHeight="1">
      <c r="A15" s="31">
        <v>4</v>
      </c>
      <c r="B15" s="32" t="s">
        <v>75</v>
      </c>
      <c r="C15" s="43">
        <f t="shared" si="3"/>
        <v>521086</v>
      </c>
      <c r="D15" s="43">
        <v>521014</v>
      </c>
      <c r="E15" s="52">
        <f t="shared" si="4"/>
        <v>72</v>
      </c>
      <c r="F15" s="43"/>
      <c r="G15" s="43">
        <v>72</v>
      </c>
      <c r="H15" s="43"/>
      <c r="I15" s="43">
        <v>72</v>
      </c>
      <c r="J15" s="43"/>
      <c r="K15" s="33">
        <f t="shared" si="12"/>
        <v>654815.714292</v>
      </c>
      <c r="L15" s="48">
        <v>521014</v>
      </c>
      <c r="M15" s="53">
        <f t="shared" si="5"/>
        <v>133801.714292</v>
      </c>
      <c r="N15" s="33"/>
      <c r="O15" s="53">
        <v>133801.714292</v>
      </c>
      <c r="P15" s="33">
        <v>382.184292</v>
      </c>
      <c r="Q15" s="53">
        <f t="shared" si="6"/>
        <v>27765</v>
      </c>
      <c r="R15" s="33">
        <v>105654.53</v>
      </c>
      <c r="S15" s="44">
        <f t="shared" si="7"/>
        <v>1.2566365519165743</v>
      </c>
      <c r="T15" s="44">
        <f t="shared" si="8"/>
        <v>1</v>
      </c>
      <c r="U15" s="44">
        <f t="shared" si="9"/>
        <v>1858.3571429444444</v>
      </c>
      <c r="V15" s="54"/>
      <c r="W15" s="44">
        <f t="shared" si="10"/>
        <v>1858.3571429444444</v>
      </c>
      <c r="X15" s="54"/>
      <c r="Y15" s="44">
        <f t="shared" si="11"/>
        <v>385.625</v>
      </c>
      <c r="Z15" s="44"/>
    </row>
    <row r="16" spans="1:26" s="24" customFormat="1" ht="36" customHeight="1">
      <c r="A16" s="31">
        <v>5</v>
      </c>
      <c r="B16" s="32" t="s">
        <v>76</v>
      </c>
      <c r="C16" s="43">
        <f t="shared" si="3"/>
        <v>467954</v>
      </c>
      <c r="D16" s="43">
        <v>467882</v>
      </c>
      <c r="E16" s="52">
        <f t="shared" si="4"/>
        <v>72</v>
      </c>
      <c r="F16" s="43"/>
      <c r="G16" s="43">
        <v>72</v>
      </c>
      <c r="H16" s="43"/>
      <c r="I16" s="43">
        <v>72</v>
      </c>
      <c r="J16" s="43"/>
      <c r="K16" s="33">
        <f t="shared" si="12"/>
        <v>547528</v>
      </c>
      <c r="L16" s="48">
        <v>467882</v>
      </c>
      <c r="M16" s="53">
        <f t="shared" si="5"/>
        <v>79646</v>
      </c>
      <c r="N16" s="33"/>
      <c r="O16" s="53">
        <v>79646</v>
      </c>
      <c r="P16" s="33"/>
      <c r="Q16" s="53">
        <f t="shared" si="6"/>
        <v>26349</v>
      </c>
      <c r="R16" s="33">
        <v>53297</v>
      </c>
      <c r="S16" s="44">
        <f t="shared" si="7"/>
        <v>1.1700466285147686</v>
      </c>
      <c r="T16" s="44">
        <f t="shared" si="8"/>
        <v>1</v>
      </c>
      <c r="U16" s="44">
        <f t="shared" si="9"/>
        <v>1106.1944444444443</v>
      </c>
      <c r="V16" s="54"/>
      <c r="W16" s="44">
        <f t="shared" si="10"/>
        <v>1106.1944444444443</v>
      </c>
      <c r="X16" s="54"/>
      <c r="Y16" s="44">
        <f t="shared" si="11"/>
        <v>365.9583333333333</v>
      </c>
      <c r="Z16" s="44"/>
    </row>
    <row r="17" spans="1:26" s="24" customFormat="1" ht="36" customHeight="1">
      <c r="A17" s="31">
        <v>6</v>
      </c>
      <c r="B17" s="32" t="s">
        <v>77</v>
      </c>
      <c r="C17" s="43">
        <f t="shared" si="3"/>
        <v>530072</v>
      </c>
      <c r="D17" s="43">
        <v>530000</v>
      </c>
      <c r="E17" s="52">
        <f t="shared" si="4"/>
        <v>72</v>
      </c>
      <c r="F17" s="43"/>
      <c r="G17" s="43">
        <v>72</v>
      </c>
      <c r="H17" s="43"/>
      <c r="I17" s="43">
        <v>72</v>
      </c>
      <c r="J17" s="43"/>
      <c r="K17" s="33">
        <f t="shared" si="12"/>
        <v>640946</v>
      </c>
      <c r="L17" s="48">
        <v>530000</v>
      </c>
      <c r="M17" s="53">
        <f t="shared" si="5"/>
        <v>110946</v>
      </c>
      <c r="N17" s="33"/>
      <c r="O17" s="53">
        <v>110946</v>
      </c>
      <c r="P17" s="33"/>
      <c r="Q17" s="53">
        <f t="shared" si="6"/>
        <v>24200</v>
      </c>
      <c r="R17" s="33">
        <v>86746</v>
      </c>
      <c r="S17" s="44">
        <f t="shared" si="7"/>
        <v>1.2091678111652757</v>
      </c>
      <c r="T17" s="44">
        <f t="shared" si="8"/>
        <v>1</v>
      </c>
      <c r="U17" s="44">
        <f t="shared" si="9"/>
        <v>1540.9166666666667</v>
      </c>
      <c r="V17" s="54"/>
      <c r="W17" s="44">
        <f t="shared" si="10"/>
        <v>1540.9166666666667</v>
      </c>
      <c r="X17" s="54"/>
      <c r="Y17" s="44">
        <f>Q17/I17</f>
        <v>336.1111111111111</v>
      </c>
      <c r="Z17" s="44"/>
    </row>
    <row r="18" spans="1:26" s="24" customFormat="1" ht="36" customHeight="1">
      <c r="A18" s="31">
        <v>7</v>
      </c>
      <c r="B18" s="49" t="s">
        <v>78</v>
      </c>
      <c r="C18" s="43">
        <f t="shared" si="3"/>
        <v>644925</v>
      </c>
      <c r="D18" s="43">
        <v>644853</v>
      </c>
      <c r="E18" s="52">
        <f t="shared" si="4"/>
        <v>72</v>
      </c>
      <c r="F18" s="43"/>
      <c r="G18" s="43">
        <v>72</v>
      </c>
      <c r="H18" s="43"/>
      <c r="I18" s="43">
        <v>72</v>
      </c>
      <c r="J18" s="43"/>
      <c r="K18" s="33">
        <f t="shared" si="12"/>
        <v>717096</v>
      </c>
      <c r="L18" s="48">
        <v>644853</v>
      </c>
      <c r="M18" s="53">
        <f t="shared" si="5"/>
        <v>72243</v>
      </c>
      <c r="N18" s="33"/>
      <c r="O18" s="53">
        <v>72243</v>
      </c>
      <c r="P18" s="33"/>
      <c r="Q18" s="53">
        <f t="shared" si="6"/>
        <v>23996</v>
      </c>
      <c r="R18" s="33">
        <v>48247</v>
      </c>
      <c r="S18" s="44">
        <f t="shared" si="7"/>
        <v>1.1119060355855332</v>
      </c>
      <c r="T18" s="44">
        <f t="shared" si="8"/>
        <v>1</v>
      </c>
      <c r="U18" s="44">
        <f t="shared" si="9"/>
        <v>1003.375</v>
      </c>
      <c r="V18" s="54"/>
      <c r="W18" s="44">
        <f t="shared" si="10"/>
        <v>1003.375</v>
      </c>
      <c r="X18" s="54"/>
      <c r="Y18" s="44">
        <f t="shared" si="11"/>
        <v>333.27777777777777</v>
      </c>
      <c r="Z18" s="44"/>
    </row>
    <row r="19" spans="1:26" s="137" customFormat="1" ht="36" customHeight="1">
      <c r="A19" s="57">
        <v>8</v>
      </c>
      <c r="B19" s="51" t="s">
        <v>146</v>
      </c>
      <c r="C19" s="52">
        <f t="shared" si="3"/>
        <v>409277</v>
      </c>
      <c r="D19" s="52">
        <v>409133</v>
      </c>
      <c r="E19" s="52">
        <f t="shared" si="4"/>
        <v>144</v>
      </c>
      <c r="F19" s="52"/>
      <c r="G19" s="52">
        <v>144</v>
      </c>
      <c r="H19" s="52"/>
      <c r="I19" s="52">
        <v>144</v>
      </c>
      <c r="J19" s="52"/>
      <c r="K19" s="53">
        <f t="shared" si="12"/>
        <v>473012.0057</v>
      </c>
      <c r="L19" s="146">
        <v>409133</v>
      </c>
      <c r="M19" s="53">
        <f t="shared" si="5"/>
        <v>63879.0057</v>
      </c>
      <c r="N19" s="33"/>
      <c r="O19" s="53">
        <v>63879.0057</v>
      </c>
      <c r="P19" s="53">
        <f>6500+1336.0057</f>
        <v>7836.0057</v>
      </c>
      <c r="Q19" s="53">
        <f t="shared" si="6"/>
        <v>29757</v>
      </c>
      <c r="R19" s="53">
        <v>26286</v>
      </c>
      <c r="S19" s="54">
        <f t="shared" si="7"/>
        <v>1.155725842644468</v>
      </c>
      <c r="T19" s="54">
        <f t="shared" si="8"/>
        <v>1</v>
      </c>
      <c r="U19" s="54">
        <f t="shared" si="9"/>
        <v>443.60420625</v>
      </c>
      <c r="V19" s="54"/>
      <c r="W19" s="54">
        <f t="shared" si="10"/>
        <v>443.60420625</v>
      </c>
      <c r="X19" s="54"/>
      <c r="Y19" s="54">
        <f t="shared" si="11"/>
        <v>206.64583333333334</v>
      </c>
      <c r="Z19" s="54"/>
    </row>
    <row r="20" spans="1:26" s="24" customFormat="1" ht="36" customHeight="1">
      <c r="A20" s="31">
        <v>9</v>
      </c>
      <c r="B20" s="32" t="s">
        <v>80</v>
      </c>
      <c r="C20" s="43">
        <f t="shared" si="3"/>
        <v>121783</v>
      </c>
      <c r="D20" s="43">
        <v>121693</v>
      </c>
      <c r="E20" s="52">
        <f t="shared" si="4"/>
        <v>90</v>
      </c>
      <c r="F20" s="43"/>
      <c r="G20" s="43">
        <v>90</v>
      </c>
      <c r="H20" s="43"/>
      <c r="I20" s="43">
        <v>90</v>
      </c>
      <c r="J20" s="43"/>
      <c r="K20" s="33">
        <f t="shared" si="12"/>
        <v>134936</v>
      </c>
      <c r="L20" s="48">
        <v>121693</v>
      </c>
      <c r="M20" s="53">
        <f t="shared" si="5"/>
        <v>13243</v>
      </c>
      <c r="N20" s="33"/>
      <c r="O20" s="53">
        <v>13243</v>
      </c>
      <c r="P20" s="33"/>
      <c r="Q20" s="53">
        <f t="shared" si="6"/>
        <v>3607</v>
      </c>
      <c r="R20" s="33">
        <v>9636</v>
      </c>
      <c r="S20" s="44">
        <f t="shared" si="7"/>
        <v>1.108003580138443</v>
      </c>
      <c r="T20" s="44">
        <f t="shared" si="8"/>
        <v>1</v>
      </c>
      <c r="U20" s="44">
        <f t="shared" si="9"/>
        <v>147.14444444444445</v>
      </c>
      <c r="V20" s="54"/>
      <c r="W20" s="44">
        <f t="shared" si="10"/>
        <v>147.14444444444445</v>
      </c>
      <c r="X20" s="54"/>
      <c r="Y20" s="44">
        <f t="shared" si="11"/>
        <v>40.077777777777776</v>
      </c>
      <c r="Z20" s="44"/>
    </row>
    <row r="21" spans="1:26" s="24" customFormat="1" ht="36" customHeight="1">
      <c r="A21" s="131">
        <v>10</v>
      </c>
      <c r="B21" s="132" t="s">
        <v>81</v>
      </c>
      <c r="C21" s="45">
        <f t="shared" si="3"/>
        <v>571601</v>
      </c>
      <c r="D21" s="45">
        <v>571529</v>
      </c>
      <c r="E21" s="143">
        <f t="shared" si="4"/>
        <v>72</v>
      </c>
      <c r="F21" s="45"/>
      <c r="G21" s="45">
        <v>72</v>
      </c>
      <c r="H21" s="45"/>
      <c r="I21" s="45">
        <v>72</v>
      </c>
      <c r="J21" s="45"/>
      <c r="K21" s="50">
        <f t="shared" si="12"/>
        <v>652104</v>
      </c>
      <c r="L21" s="133">
        <v>571529</v>
      </c>
      <c r="M21" s="128">
        <f t="shared" si="5"/>
        <v>80575</v>
      </c>
      <c r="N21" s="50"/>
      <c r="O21" s="128">
        <v>80575</v>
      </c>
      <c r="P21" s="50"/>
      <c r="Q21" s="128">
        <f t="shared" si="6"/>
        <v>27723</v>
      </c>
      <c r="R21" s="50">
        <v>52852</v>
      </c>
      <c r="S21" s="144">
        <f t="shared" si="7"/>
        <v>1.140837752208271</v>
      </c>
      <c r="T21" s="144">
        <f t="shared" si="8"/>
        <v>1</v>
      </c>
      <c r="U21" s="144">
        <f t="shared" si="9"/>
        <v>1119.0972222222222</v>
      </c>
      <c r="V21" s="145"/>
      <c r="W21" s="144">
        <f t="shared" si="10"/>
        <v>1119.0972222222222</v>
      </c>
      <c r="X21" s="145"/>
      <c r="Y21" s="144">
        <f>Q21/I21</f>
        <v>385.0416666666667</v>
      </c>
      <c r="Z21" s="144"/>
    </row>
    <row r="22" spans="1:26" s="24" customFormat="1" ht="24.75" customHeight="1">
      <c r="A22" s="140"/>
      <c r="B22" s="141"/>
      <c r="C22" s="138"/>
      <c r="D22" s="138"/>
      <c r="E22" s="138"/>
      <c r="F22" s="138"/>
      <c r="G22" s="138"/>
      <c r="H22" s="138"/>
      <c r="I22" s="138"/>
      <c r="J22" s="138"/>
      <c r="K22" s="139"/>
      <c r="L22" s="139"/>
      <c r="M22" s="139"/>
      <c r="N22" s="139"/>
      <c r="O22" s="139"/>
      <c r="P22" s="139"/>
      <c r="Q22" s="139"/>
      <c r="R22" s="139"/>
      <c r="S22" s="142"/>
      <c r="T22" s="142"/>
      <c r="U22" s="142"/>
      <c r="V22" s="142"/>
      <c r="W22" s="142"/>
      <c r="X22" s="142"/>
      <c r="Y22" s="142"/>
      <c r="Z22" s="142"/>
    </row>
    <row r="23" spans="1:26" s="24" customFormat="1" ht="15.75">
      <c r="A23" s="39"/>
      <c r="B23" s="23"/>
      <c r="C23" s="23"/>
      <c r="D23" s="23"/>
      <c r="E23" s="23"/>
      <c r="F23" s="23"/>
      <c r="G23" s="23"/>
      <c r="H23" s="23"/>
      <c r="I23" s="23"/>
      <c r="J23" s="23"/>
      <c r="K23" s="55"/>
      <c r="L23" s="55"/>
      <c r="M23" s="55"/>
      <c r="N23" s="55"/>
      <c r="O23" s="55"/>
      <c r="P23" s="55"/>
      <c r="Q23" s="55"/>
      <c r="R23" s="55"/>
      <c r="S23" s="23"/>
      <c r="T23" s="23"/>
      <c r="U23" s="23"/>
      <c r="V23" s="23"/>
      <c r="W23" s="23"/>
      <c r="X23" s="23"/>
      <c r="Y23" s="23"/>
      <c r="Z23" s="23"/>
    </row>
    <row r="24" spans="1:18" s="24" customFormat="1" ht="15.75" hidden="1">
      <c r="A24" s="58" t="s">
        <v>7</v>
      </c>
      <c r="K24" s="40"/>
      <c r="L24" s="40"/>
      <c r="M24" s="40"/>
      <c r="N24" s="40"/>
      <c r="O24" s="40"/>
      <c r="P24" s="40"/>
      <c r="Q24" s="40"/>
      <c r="R24" s="40"/>
    </row>
    <row r="25" spans="1:18" s="24" customFormat="1" ht="15" hidden="1">
      <c r="A25" s="59"/>
      <c r="K25" s="40"/>
      <c r="L25" s="40"/>
      <c r="M25" s="40"/>
      <c r="N25" s="40"/>
      <c r="O25" s="40"/>
      <c r="P25" s="40"/>
      <c r="Q25" s="40"/>
      <c r="R25" s="40"/>
    </row>
    <row r="26" spans="1:18" s="24" customFormat="1" ht="15" hidden="1">
      <c r="A26" s="59"/>
      <c r="K26" s="40"/>
      <c r="L26" s="40"/>
      <c r="M26" s="40"/>
      <c r="N26" s="40"/>
      <c r="O26" s="40"/>
      <c r="P26" s="40"/>
      <c r="Q26" s="40"/>
      <c r="R26" s="40"/>
    </row>
    <row r="27" spans="1:18" s="24" customFormat="1" ht="15" hidden="1">
      <c r="A27" s="59"/>
      <c r="K27" s="40"/>
      <c r="L27" s="40"/>
      <c r="M27" s="40"/>
      <c r="N27" s="40"/>
      <c r="O27" s="40"/>
      <c r="P27" s="40"/>
      <c r="Q27" s="40"/>
      <c r="R27" s="40"/>
    </row>
    <row r="28" spans="1:18" s="24" customFormat="1" ht="15" hidden="1">
      <c r="A28" s="59"/>
      <c r="K28" s="40"/>
      <c r="L28" s="40"/>
      <c r="M28" s="40"/>
      <c r="N28" s="40"/>
      <c r="O28" s="40"/>
      <c r="P28" s="40"/>
      <c r="Q28" s="40"/>
      <c r="R28" s="40"/>
    </row>
    <row r="29" spans="1:18" s="24" customFormat="1" ht="15" hidden="1">
      <c r="A29" s="59"/>
      <c r="J29" s="24" t="s">
        <v>244</v>
      </c>
      <c r="K29" s="40"/>
      <c r="L29" s="40"/>
      <c r="M29" s="40"/>
      <c r="N29" s="40"/>
      <c r="O29" s="40"/>
      <c r="P29" s="40"/>
      <c r="Q29" s="40"/>
      <c r="R29" s="40"/>
    </row>
    <row r="30" spans="1:18" s="24" customFormat="1" ht="15" hidden="1">
      <c r="A30" s="59"/>
      <c r="J30" s="24" t="s">
        <v>245</v>
      </c>
      <c r="K30" s="40"/>
      <c r="L30" s="40"/>
      <c r="M30" s="40"/>
      <c r="N30" s="40"/>
      <c r="O30" s="40"/>
      <c r="P30" s="40"/>
      <c r="Q30" s="40"/>
      <c r="R30" s="40"/>
    </row>
    <row r="31" spans="1:18" s="24" customFormat="1" ht="15" hidden="1">
      <c r="A31" s="59"/>
      <c r="K31" s="40"/>
      <c r="L31" s="40"/>
      <c r="M31" s="40"/>
      <c r="N31" s="40"/>
      <c r="O31" s="40"/>
      <c r="P31" s="40"/>
      <c r="Q31" s="40"/>
      <c r="R31" s="40"/>
    </row>
    <row r="32" spans="1:18" s="24" customFormat="1" ht="15">
      <c r="A32" s="59"/>
      <c r="K32" s="41"/>
      <c r="L32" s="147"/>
      <c r="M32" s="40"/>
      <c r="N32" s="40"/>
      <c r="O32" s="40"/>
      <c r="P32" s="40"/>
      <c r="Q32" s="40"/>
      <c r="R32" s="40"/>
    </row>
    <row r="34" ht="15.75">
      <c r="L34" s="148"/>
    </row>
  </sheetData>
  <sheetProtection/>
  <mergeCells count="33">
    <mergeCell ref="A6:A9"/>
    <mergeCell ref="B6:B9"/>
    <mergeCell ref="C6:J6"/>
    <mergeCell ref="K6:R6"/>
    <mergeCell ref="M7:R7"/>
    <mergeCell ref="L7:L9"/>
    <mergeCell ref="H8:H9"/>
    <mergeCell ref="C7:C9"/>
    <mergeCell ref="E7:J7"/>
    <mergeCell ref="D7:D9"/>
    <mergeCell ref="S6:Z6"/>
    <mergeCell ref="M8:M9"/>
    <mergeCell ref="T7:T9"/>
    <mergeCell ref="V8:W8"/>
    <mergeCell ref="U7:Z7"/>
    <mergeCell ref="Z8:Z9"/>
    <mergeCell ref="E8:E9"/>
    <mergeCell ref="F8:G8"/>
    <mergeCell ref="Y8:Y9"/>
    <mergeCell ref="X8:X9"/>
    <mergeCell ref="I8:I9"/>
    <mergeCell ref="J8:J9"/>
    <mergeCell ref="U8:U9"/>
    <mergeCell ref="X5:Z5"/>
    <mergeCell ref="X1:Z1"/>
    <mergeCell ref="S7:S9"/>
    <mergeCell ref="A2:Z2"/>
    <mergeCell ref="A3:Z3"/>
    <mergeCell ref="N8:O8"/>
    <mergeCell ref="P8:P9"/>
    <mergeCell ref="Q8:Q9"/>
    <mergeCell ref="R8:R9"/>
    <mergeCell ref="K7:K9"/>
  </mergeCells>
  <printOptions horizontalCentered="1"/>
  <pageMargins left="0" right="0" top="0.52" bottom="0" header="0.5118110236220472" footer="0.31496062992125984"/>
  <pageSetup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sheetPr>
    <tabColor theme="0"/>
  </sheetPr>
  <dimension ref="A1:AI50"/>
  <sheetViews>
    <sheetView view="pageBreakPreview" zoomScaleNormal="90" zoomScaleSheetLayoutView="100" zoomScalePageLayoutView="0" workbookViewId="0" topLeftCell="A19">
      <selection activeCell="K16" sqref="K16"/>
    </sheetView>
  </sheetViews>
  <sheetFormatPr defaultColWidth="9.140625" defaultRowHeight="15"/>
  <cols>
    <col min="1" max="1" width="5.00390625" style="126" customWidth="1"/>
    <col min="2" max="2" width="22.421875" style="126" customWidth="1"/>
    <col min="3" max="3" width="5.421875" style="126" customWidth="1"/>
    <col min="4" max="4" width="5.57421875" style="126" customWidth="1"/>
    <col min="5" max="5" width="6.421875" style="126" customWidth="1"/>
    <col min="6" max="6" width="9.28125" style="127" customWidth="1"/>
    <col min="7" max="7" width="9.28125" style="126" customWidth="1"/>
    <col min="8" max="8" width="8.421875" style="126" customWidth="1"/>
    <col min="9" max="9" width="9.421875" style="126" customWidth="1"/>
    <col min="10" max="10" width="9.28125" style="126" customWidth="1"/>
    <col min="11" max="11" width="9.421875" style="126" customWidth="1"/>
    <col min="12" max="12" width="5.57421875" style="126" customWidth="1"/>
    <col min="13" max="14" width="8.421875" style="126" customWidth="1"/>
    <col min="15" max="15" width="5.421875" style="126" customWidth="1"/>
    <col min="16" max="16" width="9.28125" style="126" customWidth="1"/>
    <col min="17" max="17" width="9.57421875" style="126" customWidth="1"/>
    <col min="18" max="18" width="9.421875" style="126" customWidth="1"/>
    <col min="19" max="19" width="5.57421875" style="126" customWidth="1"/>
    <col min="20" max="21" width="8.57421875" style="126" customWidth="1"/>
    <col min="22" max="22" width="5.57421875" style="126" customWidth="1"/>
    <col min="23" max="23" width="9.421875" style="126" customWidth="1"/>
    <col min="24" max="24" width="9.28125" style="126" customWidth="1"/>
    <col min="25" max="25" width="9.421875" style="126" customWidth="1"/>
    <col min="26" max="26" width="5.57421875" style="126" customWidth="1"/>
    <col min="27" max="28" width="7.421875" style="126" customWidth="1"/>
    <col min="29" max="29" width="5.421875" style="126" customWidth="1"/>
    <col min="30" max="32" width="6.8515625" style="126" hidden="1" customWidth="1"/>
    <col min="33" max="34" width="0" style="126" hidden="1" customWidth="1"/>
    <col min="35" max="35" width="10.00390625" style="126" customWidth="1"/>
    <col min="36" max="16384" width="9.140625" style="126" customWidth="1"/>
  </cols>
  <sheetData>
    <row r="1" spans="6:32" s="192" customFormat="1" ht="16.5">
      <c r="F1" s="196"/>
      <c r="Z1" s="465" t="s">
        <v>223</v>
      </c>
      <c r="AA1" s="465"/>
      <c r="AB1" s="465"/>
      <c r="AC1" s="465"/>
      <c r="AD1" s="465" t="s">
        <v>223</v>
      </c>
      <c r="AE1" s="465"/>
      <c r="AF1" s="465"/>
    </row>
    <row r="2" spans="1:32" s="192" customFormat="1" ht="16.5">
      <c r="A2" s="472" t="s">
        <v>392</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row>
    <row r="3" spans="1:35" s="192" customFormat="1" ht="16.5">
      <c r="A3" s="467" t="str">
        <f>'59'!A3:Z3</f>
        <v>(Kèm theo Nghị quyết số      /NQ-HĐND ngày      tháng  6 năm 2024 của HĐND tỉnh Điện Biên)</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274"/>
      <c r="AH3" s="274"/>
      <c r="AI3" s="274"/>
    </row>
    <row r="4" spans="1:35" ht="18.75">
      <c r="A4" s="252"/>
      <c r="B4" s="252"/>
      <c r="C4" s="252"/>
      <c r="D4" s="252"/>
      <c r="E4" s="252"/>
      <c r="F4" s="264"/>
      <c r="G4" s="252"/>
      <c r="H4" s="252"/>
      <c r="I4" s="299"/>
      <c r="J4" s="299"/>
      <c r="K4" s="299"/>
      <c r="L4" s="299"/>
      <c r="M4" s="299"/>
      <c r="N4" s="299"/>
      <c r="O4" s="299"/>
      <c r="P4" s="299"/>
      <c r="Q4" s="299"/>
      <c r="R4" s="299"/>
      <c r="S4" s="299"/>
      <c r="T4" s="299"/>
      <c r="U4" s="299"/>
      <c r="V4" s="299"/>
      <c r="W4" s="299"/>
      <c r="X4" s="299"/>
      <c r="Y4" s="299"/>
      <c r="Z4" s="299"/>
      <c r="AA4" s="299"/>
      <c r="AB4" s="299"/>
      <c r="AC4" s="299"/>
      <c r="AD4" s="252"/>
      <c r="AE4" s="252"/>
      <c r="AF4" s="252"/>
      <c r="AG4" s="85"/>
      <c r="AH4" s="85"/>
      <c r="AI4" s="85"/>
    </row>
    <row r="5" spans="14:32" ht="16.5">
      <c r="N5" s="127"/>
      <c r="U5" s="127"/>
      <c r="Z5" s="485" t="s">
        <v>117</v>
      </c>
      <c r="AA5" s="485"/>
      <c r="AB5" s="485"/>
      <c r="AD5" s="485"/>
      <c r="AE5" s="485"/>
      <c r="AF5" s="485"/>
    </row>
    <row r="6" spans="1:32" ht="30.75" customHeight="1">
      <c r="A6" s="511" t="s">
        <v>113</v>
      </c>
      <c r="B6" s="511" t="s">
        <v>249</v>
      </c>
      <c r="C6" s="511" t="s">
        <v>8</v>
      </c>
      <c r="D6" s="511"/>
      <c r="E6" s="511"/>
      <c r="F6" s="527" t="s">
        <v>37</v>
      </c>
      <c r="G6" s="528"/>
      <c r="H6" s="528"/>
      <c r="I6" s="528"/>
      <c r="J6" s="528"/>
      <c r="K6" s="528"/>
      <c r="L6" s="528"/>
      <c r="M6" s="528"/>
      <c r="N6" s="528"/>
      <c r="O6" s="528"/>
      <c r="P6" s="528"/>
      <c r="Q6" s="528"/>
      <c r="R6" s="528"/>
      <c r="S6" s="528"/>
      <c r="T6" s="528"/>
      <c r="U6" s="528"/>
      <c r="V6" s="528"/>
      <c r="W6" s="528"/>
      <c r="X6" s="528"/>
      <c r="Y6" s="528"/>
      <c r="Z6" s="528"/>
      <c r="AA6" s="528"/>
      <c r="AB6" s="528"/>
      <c r="AC6" s="529"/>
      <c r="AD6" s="511" t="s">
        <v>193</v>
      </c>
      <c r="AE6" s="511"/>
      <c r="AF6" s="511"/>
    </row>
    <row r="7" spans="1:32" ht="48" customHeight="1">
      <c r="A7" s="511"/>
      <c r="B7" s="511"/>
      <c r="C7" s="511" t="s">
        <v>227</v>
      </c>
      <c r="D7" s="511" t="s">
        <v>232</v>
      </c>
      <c r="E7" s="511"/>
      <c r="F7" s="516" t="s">
        <v>227</v>
      </c>
      <c r="G7" s="511" t="s">
        <v>232</v>
      </c>
      <c r="H7" s="511"/>
      <c r="I7" s="511" t="s">
        <v>393</v>
      </c>
      <c r="J7" s="511"/>
      <c r="K7" s="511"/>
      <c r="L7" s="511"/>
      <c r="M7" s="511"/>
      <c r="N7" s="511"/>
      <c r="O7" s="511"/>
      <c r="P7" s="511" t="s">
        <v>337</v>
      </c>
      <c r="Q7" s="511"/>
      <c r="R7" s="511"/>
      <c r="S7" s="511"/>
      <c r="T7" s="511"/>
      <c r="U7" s="511"/>
      <c r="V7" s="511"/>
      <c r="W7" s="511" t="s">
        <v>338</v>
      </c>
      <c r="X7" s="511"/>
      <c r="Y7" s="511"/>
      <c r="Z7" s="511"/>
      <c r="AA7" s="511"/>
      <c r="AB7" s="511"/>
      <c r="AC7" s="511"/>
      <c r="AD7" s="511" t="s">
        <v>227</v>
      </c>
      <c r="AE7" s="511" t="s">
        <v>232</v>
      </c>
      <c r="AF7" s="511"/>
    </row>
    <row r="8" spans="1:32" ht="27.75" customHeight="1">
      <c r="A8" s="511"/>
      <c r="B8" s="511"/>
      <c r="C8" s="511"/>
      <c r="D8" s="511" t="s">
        <v>69</v>
      </c>
      <c r="E8" s="511" t="s">
        <v>70</v>
      </c>
      <c r="F8" s="516"/>
      <c r="G8" s="511" t="s">
        <v>69</v>
      </c>
      <c r="H8" s="511" t="s">
        <v>70</v>
      </c>
      <c r="I8" s="511" t="s">
        <v>227</v>
      </c>
      <c r="J8" s="511" t="s">
        <v>191</v>
      </c>
      <c r="K8" s="511"/>
      <c r="L8" s="511"/>
      <c r="M8" s="511" t="s">
        <v>70</v>
      </c>
      <c r="N8" s="511"/>
      <c r="O8" s="511"/>
      <c r="P8" s="511" t="s">
        <v>227</v>
      </c>
      <c r="Q8" s="511" t="s">
        <v>191</v>
      </c>
      <c r="R8" s="511"/>
      <c r="S8" s="511"/>
      <c r="T8" s="511" t="s">
        <v>70</v>
      </c>
      <c r="U8" s="511"/>
      <c r="V8" s="511"/>
      <c r="W8" s="511" t="s">
        <v>227</v>
      </c>
      <c r="X8" s="511" t="s">
        <v>191</v>
      </c>
      <c r="Y8" s="511"/>
      <c r="Z8" s="511"/>
      <c r="AA8" s="511" t="s">
        <v>70</v>
      </c>
      <c r="AB8" s="511"/>
      <c r="AC8" s="511"/>
      <c r="AD8" s="511"/>
      <c r="AE8" s="511" t="s">
        <v>191</v>
      </c>
      <c r="AF8" s="511" t="s">
        <v>126</v>
      </c>
    </row>
    <row r="9" spans="1:32" ht="21.75" customHeight="1">
      <c r="A9" s="511"/>
      <c r="B9" s="511"/>
      <c r="C9" s="511"/>
      <c r="D9" s="511"/>
      <c r="E9" s="511"/>
      <c r="F9" s="516"/>
      <c r="G9" s="511"/>
      <c r="H9" s="511"/>
      <c r="I9" s="511"/>
      <c r="J9" s="511" t="s">
        <v>227</v>
      </c>
      <c r="K9" s="511" t="s">
        <v>36</v>
      </c>
      <c r="L9" s="511"/>
      <c r="M9" s="511" t="s">
        <v>227</v>
      </c>
      <c r="N9" s="511" t="s">
        <v>36</v>
      </c>
      <c r="O9" s="511"/>
      <c r="P9" s="511"/>
      <c r="Q9" s="511" t="s">
        <v>227</v>
      </c>
      <c r="R9" s="511" t="s">
        <v>36</v>
      </c>
      <c r="S9" s="511"/>
      <c r="T9" s="511" t="s">
        <v>227</v>
      </c>
      <c r="U9" s="511" t="s">
        <v>36</v>
      </c>
      <c r="V9" s="511"/>
      <c r="W9" s="511"/>
      <c r="X9" s="511" t="s">
        <v>227</v>
      </c>
      <c r="Y9" s="511" t="s">
        <v>36</v>
      </c>
      <c r="Z9" s="511"/>
      <c r="AA9" s="511" t="s">
        <v>227</v>
      </c>
      <c r="AB9" s="511" t="s">
        <v>36</v>
      </c>
      <c r="AC9" s="511"/>
      <c r="AD9" s="511"/>
      <c r="AE9" s="511"/>
      <c r="AF9" s="511"/>
    </row>
    <row r="10" spans="1:32" ht="51" customHeight="1">
      <c r="A10" s="511"/>
      <c r="B10" s="511"/>
      <c r="C10" s="511"/>
      <c r="D10" s="511"/>
      <c r="E10" s="511"/>
      <c r="F10" s="516"/>
      <c r="G10" s="511"/>
      <c r="H10" s="511"/>
      <c r="I10" s="511"/>
      <c r="J10" s="511"/>
      <c r="K10" s="348" t="s">
        <v>230</v>
      </c>
      <c r="L10" s="348" t="s">
        <v>71</v>
      </c>
      <c r="M10" s="511"/>
      <c r="N10" s="348" t="s">
        <v>230</v>
      </c>
      <c r="O10" s="348" t="s">
        <v>71</v>
      </c>
      <c r="P10" s="511"/>
      <c r="Q10" s="511"/>
      <c r="R10" s="348" t="s">
        <v>230</v>
      </c>
      <c r="S10" s="348" t="s">
        <v>71</v>
      </c>
      <c r="T10" s="511"/>
      <c r="U10" s="348" t="s">
        <v>230</v>
      </c>
      <c r="V10" s="348" t="s">
        <v>71</v>
      </c>
      <c r="W10" s="511"/>
      <c r="X10" s="511"/>
      <c r="Y10" s="348" t="s">
        <v>230</v>
      </c>
      <c r="Z10" s="348" t="s">
        <v>71</v>
      </c>
      <c r="AA10" s="511"/>
      <c r="AB10" s="348" t="s">
        <v>230</v>
      </c>
      <c r="AC10" s="348" t="s">
        <v>71</v>
      </c>
      <c r="AD10" s="511"/>
      <c r="AE10" s="511"/>
      <c r="AF10" s="511"/>
    </row>
    <row r="11" spans="1:32" ht="15">
      <c r="A11" s="110" t="s">
        <v>115</v>
      </c>
      <c r="B11" s="110" t="s">
        <v>116</v>
      </c>
      <c r="C11" s="110">
        <v>1</v>
      </c>
      <c r="D11" s="110">
        <v>2</v>
      </c>
      <c r="E11" s="251">
        <v>3</v>
      </c>
      <c r="F11" s="349">
        <v>4</v>
      </c>
      <c r="G11" s="251">
        <v>5</v>
      </c>
      <c r="H11" s="251">
        <v>6</v>
      </c>
      <c r="I11" s="348">
        <v>7</v>
      </c>
      <c r="J11" s="348">
        <v>8</v>
      </c>
      <c r="K11" s="348">
        <v>9</v>
      </c>
      <c r="L11" s="348">
        <v>10</v>
      </c>
      <c r="M11" s="348">
        <v>11</v>
      </c>
      <c r="N11" s="348">
        <v>12</v>
      </c>
      <c r="O11" s="348">
        <v>13</v>
      </c>
      <c r="P11" s="348">
        <v>7</v>
      </c>
      <c r="Q11" s="348">
        <v>8</v>
      </c>
      <c r="R11" s="348">
        <v>9</v>
      </c>
      <c r="S11" s="348">
        <v>10</v>
      </c>
      <c r="T11" s="348">
        <v>11</v>
      </c>
      <c r="U11" s="348">
        <v>12</v>
      </c>
      <c r="V11" s="348">
        <v>13</v>
      </c>
      <c r="W11" s="348">
        <v>14</v>
      </c>
      <c r="X11" s="348">
        <v>15</v>
      </c>
      <c r="Y11" s="348">
        <v>16</v>
      </c>
      <c r="Z11" s="348">
        <v>17</v>
      </c>
      <c r="AA11" s="348">
        <v>18</v>
      </c>
      <c r="AB11" s="348">
        <v>19</v>
      </c>
      <c r="AC11" s="348">
        <v>20</v>
      </c>
      <c r="AD11" s="251" t="s">
        <v>339</v>
      </c>
      <c r="AE11" s="251" t="s">
        <v>340</v>
      </c>
      <c r="AF11" s="251" t="s">
        <v>341</v>
      </c>
    </row>
    <row r="12" spans="1:32" ht="30" customHeight="1">
      <c r="A12" s="259"/>
      <c r="B12" s="259" t="s">
        <v>228</v>
      </c>
      <c r="C12" s="297"/>
      <c r="D12" s="297"/>
      <c r="E12" s="451"/>
      <c r="F12" s="452">
        <f aca="true" t="shared" si="0" ref="F12:K12">SUM(F13,F34)</f>
        <v>459449.06016999995</v>
      </c>
      <c r="G12" s="452">
        <f t="shared" si="0"/>
        <v>370185.97296000004</v>
      </c>
      <c r="H12" s="452">
        <f t="shared" si="0"/>
        <v>89263.08721</v>
      </c>
      <c r="I12" s="452">
        <f t="shared" si="0"/>
        <v>161856.357539</v>
      </c>
      <c r="J12" s="452">
        <f t="shared" si="0"/>
        <v>116115.302678</v>
      </c>
      <c r="K12" s="452">
        <f t="shared" si="0"/>
        <v>116115.302678</v>
      </c>
      <c r="L12" s="452">
        <f aca="true" t="shared" si="1" ref="L12:AC12">SUM(L13,L34)</f>
        <v>0</v>
      </c>
      <c r="M12" s="452">
        <f t="shared" si="1"/>
        <v>45741.054861</v>
      </c>
      <c r="N12" s="452">
        <f t="shared" si="1"/>
        <v>45741.054861</v>
      </c>
      <c r="O12" s="452">
        <f t="shared" si="1"/>
        <v>0</v>
      </c>
      <c r="P12" s="452">
        <f t="shared" si="1"/>
        <v>189010.568464</v>
      </c>
      <c r="Q12" s="452">
        <f t="shared" si="1"/>
        <v>150810.884862</v>
      </c>
      <c r="R12" s="452">
        <f t="shared" si="1"/>
        <v>150715.94186199998</v>
      </c>
      <c r="S12" s="452">
        <f t="shared" si="1"/>
        <v>94.943</v>
      </c>
      <c r="T12" s="452">
        <f t="shared" si="1"/>
        <v>38199.683602000005</v>
      </c>
      <c r="U12" s="452">
        <f t="shared" si="1"/>
        <v>38199.683602000005</v>
      </c>
      <c r="V12" s="452">
        <f t="shared" si="1"/>
        <v>0</v>
      </c>
      <c r="W12" s="452">
        <f t="shared" si="1"/>
        <v>108582.134167</v>
      </c>
      <c r="X12" s="452">
        <f t="shared" si="1"/>
        <v>103259.78542</v>
      </c>
      <c r="Y12" s="452">
        <f t="shared" si="1"/>
        <v>103259.78542</v>
      </c>
      <c r="Z12" s="452">
        <f t="shared" si="1"/>
        <v>0</v>
      </c>
      <c r="AA12" s="452">
        <f t="shared" si="1"/>
        <v>5322.348747</v>
      </c>
      <c r="AB12" s="452">
        <f t="shared" si="1"/>
        <v>5322.348747</v>
      </c>
      <c r="AC12" s="452">
        <f t="shared" si="1"/>
        <v>0</v>
      </c>
      <c r="AD12" s="298"/>
      <c r="AE12" s="298"/>
      <c r="AF12" s="298"/>
    </row>
    <row r="13" spans="1:35" s="149" customFormat="1" ht="30" customHeight="1">
      <c r="A13" s="99" t="s">
        <v>123</v>
      </c>
      <c r="B13" s="100" t="s">
        <v>221</v>
      </c>
      <c r="C13" s="101"/>
      <c r="D13" s="101"/>
      <c r="E13" s="453"/>
      <c r="F13" s="454">
        <f>SUM(F14:F33)</f>
        <v>210265.71348699997</v>
      </c>
      <c r="G13" s="454">
        <f>SUM(G14:G33)</f>
        <v>189821.824084</v>
      </c>
      <c r="H13" s="454">
        <f aca="true" t="shared" si="2" ref="H13:AC13">SUM(H14:H33)</f>
        <v>20443.889403000005</v>
      </c>
      <c r="I13" s="454">
        <f>SUM(I14:I33)</f>
        <v>124547.18801700001</v>
      </c>
      <c r="J13" s="454">
        <f t="shared" si="2"/>
        <v>109745.325178</v>
      </c>
      <c r="K13" s="454">
        <f t="shared" si="2"/>
        <v>109745.325178</v>
      </c>
      <c r="L13" s="454">
        <f t="shared" si="2"/>
        <v>0</v>
      </c>
      <c r="M13" s="454">
        <f t="shared" si="2"/>
        <v>14801.862839000001</v>
      </c>
      <c r="N13" s="454">
        <f t="shared" si="2"/>
        <v>14801.862839000001</v>
      </c>
      <c r="O13" s="454">
        <f t="shared" si="2"/>
        <v>0</v>
      </c>
      <c r="P13" s="454">
        <f t="shared" si="2"/>
        <v>81332.797471</v>
      </c>
      <c r="Q13" s="454">
        <f t="shared" si="2"/>
        <v>78614.42590599999</v>
      </c>
      <c r="R13" s="454">
        <f t="shared" si="2"/>
        <v>78614.42590599999</v>
      </c>
      <c r="S13" s="454">
        <f t="shared" si="2"/>
        <v>0</v>
      </c>
      <c r="T13" s="454">
        <f t="shared" si="2"/>
        <v>2718.371565</v>
      </c>
      <c r="U13" s="454">
        <f t="shared" si="2"/>
        <v>2718.371565</v>
      </c>
      <c r="V13" s="454">
        <f t="shared" si="2"/>
        <v>0</v>
      </c>
      <c r="W13" s="454">
        <f>SUM(W14:W33)</f>
        <v>4385.727999</v>
      </c>
      <c r="X13" s="454">
        <f t="shared" si="2"/>
        <v>1462.073</v>
      </c>
      <c r="Y13" s="454">
        <f t="shared" si="2"/>
        <v>1462.073</v>
      </c>
      <c r="Z13" s="454">
        <f t="shared" si="2"/>
        <v>0</v>
      </c>
      <c r="AA13" s="454">
        <f t="shared" si="2"/>
        <v>2923.654999</v>
      </c>
      <c r="AB13" s="454">
        <f>SUM(AB14:AB33)</f>
        <v>2923.654999</v>
      </c>
      <c r="AC13" s="454">
        <f t="shared" si="2"/>
        <v>0</v>
      </c>
      <c r="AD13" s="102"/>
      <c r="AE13" s="102"/>
      <c r="AF13" s="102"/>
      <c r="AI13" s="260"/>
    </row>
    <row r="14" spans="1:32" s="150" customFormat="1" ht="30" customHeight="1">
      <c r="A14" s="103">
        <v>1</v>
      </c>
      <c r="B14" s="130" t="s">
        <v>247</v>
      </c>
      <c r="C14" s="94"/>
      <c r="D14" s="94"/>
      <c r="E14" s="315"/>
      <c r="F14" s="232">
        <f>SUM(G14:H14)</f>
        <v>5897.7961000000005</v>
      </c>
      <c r="G14" s="232">
        <f>J14+Q14+X14</f>
        <v>5737.636</v>
      </c>
      <c r="H14" s="232">
        <f>M14+T14+AA14</f>
        <v>160.1601</v>
      </c>
      <c r="I14" s="232">
        <f>J14+M14</f>
        <v>3757.4861</v>
      </c>
      <c r="J14" s="232">
        <f>K14</f>
        <v>3597.326</v>
      </c>
      <c r="K14" s="232">
        <v>3597.326</v>
      </c>
      <c r="L14" s="232"/>
      <c r="M14" s="232">
        <f>N14</f>
        <v>160.1601</v>
      </c>
      <c r="N14" s="232">
        <v>160.1601</v>
      </c>
      <c r="O14" s="232"/>
      <c r="P14" s="232">
        <f>Q14+T14</f>
        <v>2140.31</v>
      </c>
      <c r="Q14" s="232">
        <f>R14</f>
        <v>2140.31</v>
      </c>
      <c r="R14" s="232">
        <v>2140.31</v>
      </c>
      <c r="S14" s="232"/>
      <c r="T14" s="232"/>
      <c r="U14" s="232"/>
      <c r="V14" s="232"/>
      <c r="W14" s="232">
        <f>X14+AA14</f>
        <v>0</v>
      </c>
      <c r="X14" s="232"/>
      <c r="Y14" s="232"/>
      <c r="Z14" s="232"/>
      <c r="AA14" s="232"/>
      <c r="AB14" s="232"/>
      <c r="AC14" s="232"/>
      <c r="AD14" s="104"/>
      <c r="AE14" s="104"/>
      <c r="AF14" s="104"/>
    </row>
    <row r="15" spans="1:32" s="150" customFormat="1" ht="30" customHeight="1">
      <c r="A15" s="103">
        <v>2</v>
      </c>
      <c r="B15" s="130" t="s">
        <v>252</v>
      </c>
      <c r="C15" s="94"/>
      <c r="D15" s="94"/>
      <c r="E15" s="315"/>
      <c r="F15" s="232">
        <f aca="true" t="shared" si="3" ref="F15:F33">SUM(G15:H15)</f>
        <v>96.31700000000001</v>
      </c>
      <c r="G15" s="232"/>
      <c r="H15" s="232">
        <f aca="true" t="shared" si="4" ref="H15:H33">M15+T15+AA15</f>
        <v>96.31700000000001</v>
      </c>
      <c r="I15" s="232">
        <f aca="true" t="shared" si="5" ref="I15:I33">J15+M15</f>
        <v>36.3931</v>
      </c>
      <c r="J15" s="232"/>
      <c r="K15" s="232"/>
      <c r="L15" s="232"/>
      <c r="M15" s="232">
        <f aca="true" t="shared" si="6" ref="M15:M24">N15</f>
        <v>36.3931</v>
      </c>
      <c r="N15" s="232">
        <v>36.3931</v>
      </c>
      <c r="O15" s="232"/>
      <c r="P15" s="232">
        <f aca="true" t="shared" si="7" ref="P15:P33">Q15+T15</f>
        <v>59.9239</v>
      </c>
      <c r="Q15" s="232"/>
      <c r="R15" s="232"/>
      <c r="S15" s="232"/>
      <c r="T15" s="232">
        <f>U15</f>
        <v>59.9239</v>
      </c>
      <c r="U15" s="232">
        <v>59.9239</v>
      </c>
      <c r="V15" s="232"/>
      <c r="W15" s="232">
        <f aca="true" t="shared" si="8" ref="W15:W33">X15+AA15</f>
        <v>0</v>
      </c>
      <c r="X15" s="232"/>
      <c r="Y15" s="232"/>
      <c r="Z15" s="232"/>
      <c r="AA15" s="232"/>
      <c r="AB15" s="232"/>
      <c r="AC15" s="232"/>
      <c r="AD15" s="104"/>
      <c r="AE15" s="104"/>
      <c r="AF15" s="104"/>
    </row>
    <row r="16" spans="1:32" s="150" customFormat="1" ht="30" customHeight="1">
      <c r="A16" s="103">
        <v>3</v>
      </c>
      <c r="B16" s="130" t="s">
        <v>315</v>
      </c>
      <c r="C16" s="94"/>
      <c r="D16" s="94"/>
      <c r="E16" s="315"/>
      <c r="F16" s="232">
        <f t="shared" si="3"/>
        <v>6766.443446</v>
      </c>
      <c r="G16" s="232">
        <f>J16+Q16+X16</f>
        <v>5290</v>
      </c>
      <c r="H16" s="232">
        <f t="shared" si="4"/>
        <v>1476.4434460000002</v>
      </c>
      <c r="I16" s="232">
        <f t="shared" si="5"/>
        <v>642.54244</v>
      </c>
      <c r="J16" s="232"/>
      <c r="K16" s="232"/>
      <c r="L16" s="232"/>
      <c r="M16" s="232">
        <f t="shared" si="6"/>
        <v>642.54244</v>
      </c>
      <c r="N16" s="232">
        <v>642.54244</v>
      </c>
      <c r="O16" s="232"/>
      <c r="P16" s="232">
        <f t="shared" si="7"/>
        <v>6123.901006</v>
      </c>
      <c r="Q16" s="232">
        <f>R16</f>
        <v>5290</v>
      </c>
      <c r="R16" s="232">
        <v>5290</v>
      </c>
      <c r="S16" s="232"/>
      <c r="T16" s="232">
        <f>U16</f>
        <v>833.901006</v>
      </c>
      <c r="U16" s="232">
        <v>833.901006</v>
      </c>
      <c r="V16" s="232"/>
      <c r="W16" s="232">
        <f t="shared" si="8"/>
        <v>0</v>
      </c>
      <c r="X16" s="232"/>
      <c r="Y16" s="232"/>
      <c r="Z16" s="232"/>
      <c r="AA16" s="232"/>
      <c r="AB16" s="232"/>
      <c r="AC16" s="232"/>
      <c r="AD16" s="104"/>
      <c r="AE16" s="104"/>
      <c r="AF16" s="104"/>
    </row>
    <row r="17" spans="1:32" s="150" customFormat="1" ht="30" customHeight="1">
      <c r="A17" s="103">
        <v>4</v>
      </c>
      <c r="B17" s="130" t="s">
        <v>248</v>
      </c>
      <c r="C17" s="94"/>
      <c r="D17" s="94"/>
      <c r="E17" s="315"/>
      <c r="F17" s="232">
        <f t="shared" si="3"/>
        <v>459.9661</v>
      </c>
      <c r="G17" s="232"/>
      <c r="H17" s="232">
        <f t="shared" si="4"/>
        <v>459.9661</v>
      </c>
      <c r="I17" s="232">
        <f t="shared" si="5"/>
        <v>0</v>
      </c>
      <c r="J17" s="232"/>
      <c r="K17" s="232"/>
      <c r="L17" s="232"/>
      <c r="M17" s="232"/>
      <c r="N17" s="232"/>
      <c r="O17" s="232"/>
      <c r="P17" s="232">
        <f t="shared" si="7"/>
        <v>365.0926</v>
      </c>
      <c r="Q17" s="232"/>
      <c r="R17" s="232"/>
      <c r="S17" s="232"/>
      <c r="T17" s="232">
        <f>U17</f>
        <v>365.0926</v>
      </c>
      <c r="U17" s="232">
        <v>365.0926</v>
      </c>
      <c r="V17" s="232"/>
      <c r="W17" s="232">
        <f t="shared" si="8"/>
        <v>94.8735</v>
      </c>
      <c r="X17" s="232"/>
      <c r="Y17" s="232"/>
      <c r="Z17" s="232"/>
      <c r="AA17" s="232">
        <f aca="true" t="shared" si="9" ref="AA17:AA30">AB17+AC17</f>
        <v>94.8735</v>
      </c>
      <c r="AB17" s="232">
        <v>94.8735</v>
      </c>
      <c r="AC17" s="232"/>
      <c r="AD17" s="104"/>
      <c r="AE17" s="104"/>
      <c r="AF17" s="104"/>
    </row>
    <row r="18" spans="1:32" s="150" customFormat="1" ht="30" customHeight="1">
      <c r="A18" s="103">
        <v>5</v>
      </c>
      <c r="B18" s="130" t="s">
        <v>107</v>
      </c>
      <c r="C18" s="94"/>
      <c r="D18" s="94"/>
      <c r="E18" s="315"/>
      <c r="F18" s="232">
        <f t="shared" si="3"/>
        <v>536.9388200000001</v>
      </c>
      <c r="G18" s="232"/>
      <c r="H18" s="232">
        <f t="shared" si="4"/>
        <v>536.9388200000001</v>
      </c>
      <c r="I18" s="232">
        <f t="shared" si="5"/>
        <v>466.93882</v>
      </c>
      <c r="J18" s="232"/>
      <c r="K18" s="232"/>
      <c r="L18" s="232"/>
      <c r="M18" s="232">
        <f t="shared" si="6"/>
        <v>466.93882</v>
      </c>
      <c r="N18" s="232">
        <v>466.93882</v>
      </c>
      <c r="O18" s="232"/>
      <c r="P18" s="232">
        <f t="shared" si="7"/>
        <v>0</v>
      </c>
      <c r="Q18" s="232"/>
      <c r="R18" s="232"/>
      <c r="S18" s="232"/>
      <c r="T18" s="232"/>
      <c r="U18" s="232"/>
      <c r="V18" s="232"/>
      <c r="W18" s="232">
        <f t="shared" si="8"/>
        <v>70</v>
      </c>
      <c r="X18" s="232"/>
      <c r="Y18" s="232"/>
      <c r="Z18" s="232"/>
      <c r="AA18" s="232">
        <f t="shared" si="9"/>
        <v>70</v>
      </c>
      <c r="AB18" s="232">
        <v>70</v>
      </c>
      <c r="AC18" s="232"/>
      <c r="AD18" s="104"/>
      <c r="AE18" s="104"/>
      <c r="AF18" s="104"/>
    </row>
    <row r="19" spans="1:32" s="150" customFormat="1" ht="30" customHeight="1">
      <c r="A19" s="103">
        <v>6</v>
      </c>
      <c r="B19" s="130" t="s">
        <v>314</v>
      </c>
      <c r="C19" s="94"/>
      <c r="D19" s="94"/>
      <c r="E19" s="315"/>
      <c r="F19" s="232">
        <f t="shared" si="3"/>
        <v>201.662</v>
      </c>
      <c r="G19" s="232"/>
      <c r="H19" s="232">
        <f t="shared" si="4"/>
        <v>201.662</v>
      </c>
      <c r="I19" s="232">
        <f t="shared" si="5"/>
        <v>201.662</v>
      </c>
      <c r="J19" s="232"/>
      <c r="K19" s="232"/>
      <c r="L19" s="232"/>
      <c r="M19" s="232">
        <f t="shared" si="6"/>
        <v>201.662</v>
      </c>
      <c r="N19" s="232">
        <v>201.662</v>
      </c>
      <c r="O19" s="232"/>
      <c r="P19" s="232">
        <f t="shared" si="7"/>
        <v>0</v>
      </c>
      <c r="Q19" s="232"/>
      <c r="R19" s="232"/>
      <c r="S19" s="232"/>
      <c r="T19" s="232"/>
      <c r="U19" s="232"/>
      <c r="V19" s="232"/>
      <c r="W19" s="232">
        <f t="shared" si="8"/>
        <v>0</v>
      </c>
      <c r="X19" s="232"/>
      <c r="Y19" s="232"/>
      <c r="Z19" s="232"/>
      <c r="AA19" s="232"/>
      <c r="AB19" s="232"/>
      <c r="AC19" s="232"/>
      <c r="AD19" s="104"/>
      <c r="AE19" s="104"/>
      <c r="AF19" s="104"/>
    </row>
    <row r="20" spans="1:32" s="150" customFormat="1" ht="30" customHeight="1">
      <c r="A20" s="103">
        <v>7</v>
      </c>
      <c r="B20" s="130" t="s">
        <v>316</v>
      </c>
      <c r="C20" s="94"/>
      <c r="D20" s="94"/>
      <c r="E20" s="315"/>
      <c r="F20" s="232">
        <f t="shared" si="3"/>
        <v>3474.271</v>
      </c>
      <c r="G20" s="232"/>
      <c r="H20" s="232">
        <f t="shared" si="4"/>
        <v>3474.271</v>
      </c>
      <c r="I20" s="232">
        <f t="shared" si="5"/>
        <v>2574.271</v>
      </c>
      <c r="J20" s="232"/>
      <c r="K20" s="232"/>
      <c r="L20" s="232"/>
      <c r="M20" s="232">
        <f t="shared" si="6"/>
        <v>2574.271</v>
      </c>
      <c r="N20" s="232">
        <f>2544.271+30</f>
        <v>2574.271</v>
      </c>
      <c r="O20" s="232"/>
      <c r="P20" s="232">
        <f t="shared" si="7"/>
        <v>0</v>
      </c>
      <c r="Q20" s="232"/>
      <c r="R20" s="232"/>
      <c r="S20" s="232"/>
      <c r="T20" s="232"/>
      <c r="U20" s="232"/>
      <c r="V20" s="232"/>
      <c r="W20" s="232">
        <f t="shared" si="8"/>
        <v>900</v>
      </c>
      <c r="X20" s="232"/>
      <c r="Y20" s="232"/>
      <c r="Z20" s="232"/>
      <c r="AA20" s="232">
        <f t="shared" si="9"/>
        <v>900</v>
      </c>
      <c r="AB20" s="232">
        <v>900</v>
      </c>
      <c r="AC20" s="232"/>
      <c r="AD20" s="104"/>
      <c r="AE20" s="104"/>
      <c r="AF20" s="104"/>
    </row>
    <row r="21" spans="1:32" s="150" customFormat="1" ht="30" customHeight="1">
      <c r="A21" s="103">
        <v>8</v>
      </c>
      <c r="B21" s="130" t="s">
        <v>111</v>
      </c>
      <c r="C21" s="94"/>
      <c r="D21" s="94"/>
      <c r="E21" s="315"/>
      <c r="F21" s="232">
        <f t="shared" si="3"/>
        <v>15173.694545</v>
      </c>
      <c r="G21" s="232">
        <f>J21+Q21+X21</f>
        <v>8202.848607</v>
      </c>
      <c r="H21" s="232">
        <f t="shared" si="4"/>
        <v>6970.845938</v>
      </c>
      <c r="I21" s="232">
        <f t="shared" si="5"/>
        <v>10861.763379</v>
      </c>
      <c r="J21" s="232">
        <f>K21</f>
        <v>4710.954</v>
      </c>
      <c r="K21" s="232">
        <v>4710.954</v>
      </c>
      <c r="L21" s="232"/>
      <c r="M21" s="232">
        <f t="shared" si="6"/>
        <v>6150.809379</v>
      </c>
      <c r="N21" s="232">
        <v>6150.809379</v>
      </c>
      <c r="O21" s="232"/>
      <c r="P21" s="232">
        <f t="shared" si="7"/>
        <v>4311.931166</v>
      </c>
      <c r="Q21" s="232">
        <f>R21</f>
        <v>3491.894607</v>
      </c>
      <c r="R21" s="232">
        <v>3491.894607</v>
      </c>
      <c r="S21" s="232"/>
      <c r="T21" s="232">
        <f>U21</f>
        <v>820.036559</v>
      </c>
      <c r="U21" s="232">
        <v>820.036559</v>
      </c>
      <c r="V21" s="232"/>
      <c r="W21" s="232">
        <f t="shared" si="8"/>
        <v>0</v>
      </c>
      <c r="X21" s="232"/>
      <c r="Y21" s="232"/>
      <c r="Z21" s="232"/>
      <c r="AA21" s="232"/>
      <c r="AB21" s="232"/>
      <c r="AC21" s="232"/>
      <c r="AD21" s="104"/>
      <c r="AE21" s="104"/>
      <c r="AF21" s="104"/>
    </row>
    <row r="22" spans="1:32" s="150" customFormat="1" ht="30" customHeight="1">
      <c r="A22" s="103">
        <v>9</v>
      </c>
      <c r="B22" s="130" t="s">
        <v>246</v>
      </c>
      <c r="C22" s="94"/>
      <c r="D22" s="94"/>
      <c r="E22" s="315"/>
      <c r="F22" s="232">
        <f t="shared" si="3"/>
        <v>1084.655</v>
      </c>
      <c r="G22" s="232"/>
      <c r="H22" s="232">
        <f t="shared" si="4"/>
        <v>1084.655</v>
      </c>
      <c r="I22" s="232">
        <f t="shared" si="5"/>
        <v>1084.655</v>
      </c>
      <c r="J22" s="232"/>
      <c r="K22" s="232"/>
      <c r="L22" s="232"/>
      <c r="M22" s="232">
        <f t="shared" si="6"/>
        <v>1084.655</v>
      </c>
      <c r="N22" s="232">
        <v>1084.655</v>
      </c>
      <c r="O22" s="232"/>
      <c r="P22" s="232">
        <f t="shared" si="7"/>
        <v>0</v>
      </c>
      <c r="Q22" s="232"/>
      <c r="R22" s="232"/>
      <c r="S22" s="232"/>
      <c r="T22" s="232"/>
      <c r="U22" s="232"/>
      <c r="V22" s="232"/>
      <c r="W22" s="232">
        <f t="shared" si="8"/>
        <v>0</v>
      </c>
      <c r="X22" s="232"/>
      <c r="Y22" s="232"/>
      <c r="Z22" s="232"/>
      <c r="AA22" s="232"/>
      <c r="AB22" s="232"/>
      <c r="AC22" s="232"/>
      <c r="AD22" s="104"/>
      <c r="AE22" s="104"/>
      <c r="AF22" s="104"/>
    </row>
    <row r="23" spans="1:32" s="150" customFormat="1" ht="30" customHeight="1">
      <c r="A23" s="103">
        <v>10</v>
      </c>
      <c r="B23" s="130" t="s">
        <v>321</v>
      </c>
      <c r="C23" s="94"/>
      <c r="D23" s="94"/>
      <c r="E23" s="315"/>
      <c r="F23" s="232">
        <f t="shared" si="3"/>
        <v>20288.314996</v>
      </c>
      <c r="G23" s="232">
        <f>J23+Q23+X23</f>
        <v>18052.412996</v>
      </c>
      <c r="H23" s="232">
        <f t="shared" si="4"/>
        <v>2235.902</v>
      </c>
      <c r="I23" s="232">
        <f t="shared" si="5"/>
        <v>1735.762</v>
      </c>
      <c r="J23" s="232"/>
      <c r="K23" s="232"/>
      <c r="L23" s="232"/>
      <c r="M23" s="232">
        <f t="shared" si="6"/>
        <v>1735.762</v>
      </c>
      <c r="N23" s="232">
        <v>1735.762</v>
      </c>
      <c r="O23" s="232"/>
      <c r="P23" s="232">
        <f t="shared" si="7"/>
        <v>18552.552996</v>
      </c>
      <c r="Q23" s="232">
        <f>R23</f>
        <v>18052.412996</v>
      </c>
      <c r="R23" s="232">
        <v>18052.412996</v>
      </c>
      <c r="S23" s="232"/>
      <c r="T23" s="232">
        <f>U23</f>
        <v>500.14</v>
      </c>
      <c r="U23" s="232">
        <v>500.14</v>
      </c>
      <c r="V23" s="232"/>
      <c r="W23" s="232">
        <f t="shared" si="8"/>
        <v>0</v>
      </c>
      <c r="X23" s="232"/>
      <c r="Y23" s="232"/>
      <c r="Z23" s="232"/>
      <c r="AA23" s="232"/>
      <c r="AB23" s="232"/>
      <c r="AC23" s="232"/>
      <c r="AD23" s="104"/>
      <c r="AE23" s="104"/>
      <c r="AF23" s="104"/>
    </row>
    <row r="24" spans="1:32" s="150" customFormat="1" ht="30" customHeight="1">
      <c r="A24" s="103">
        <v>11</v>
      </c>
      <c r="B24" s="130" t="s">
        <v>318</v>
      </c>
      <c r="C24" s="94"/>
      <c r="D24" s="94"/>
      <c r="E24" s="315"/>
      <c r="F24" s="232">
        <f t="shared" si="3"/>
        <v>6565.4465</v>
      </c>
      <c r="G24" s="232">
        <f>J24+Q24+X24</f>
        <v>4804</v>
      </c>
      <c r="H24" s="232">
        <f t="shared" si="4"/>
        <v>1761.4465</v>
      </c>
      <c r="I24" s="232">
        <f t="shared" si="5"/>
        <v>1622.169</v>
      </c>
      <c r="J24" s="232"/>
      <c r="K24" s="232"/>
      <c r="L24" s="232"/>
      <c r="M24" s="232">
        <f t="shared" si="6"/>
        <v>1622.169</v>
      </c>
      <c r="N24" s="232">
        <v>1622.169</v>
      </c>
      <c r="O24" s="232"/>
      <c r="P24" s="232">
        <f t="shared" si="7"/>
        <v>4943.2775</v>
      </c>
      <c r="Q24" s="232">
        <f>R24</f>
        <v>4804</v>
      </c>
      <c r="R24" s="232">
        <v>4804</v>
      </c>
      <c r="S24" s="232"/>
      <c r="T24" s="232">
        <f>U24</f>
        <v>139.2775</v>
      </c>
      <c r="U24" s="232">
        <v>139.2775</v>
      </c>
      <c r="V24" s="232"/>
      <c r="W24" s="232">
        <f t="shared" si="8"/>
        <v>0</v>
      </c>
      <c r="X24" s="232"/>
      <c r="Y24" s="232"/>
      <c r="Z24" s="232"/>
      <c r="AA24" s="232"/>
      <c r="AB24" s="232"/>
      <c r="AC24" s="232"/>
      <c r="AD24" s="104"/>
      <c r="AE24" s="104"/>
      <c r="AF24" s="104"/>
    </row>
    <row r="25" spans="1:32" s="150" customFormat="1" ht="30" customHeight="1">
      <c r="A25" s="103">
        <v>12</v>
      </c>
      <c r="B25" s="130" t="s">
        <v>319</v>
      </c>
      <c r="C25" s="94"/>
      <c r="D25" s="94"/>
      <c r="E25" s="315"/>
      <c r="F25" s="232">
        <f t="shared" si="3"/>
        <v>70</v>
      </c>
      <c r="G25" s="232"/>
      <c r="H25" s="232">
        <f t="shared" si="4"/>
        <v>70</v>
      </c>
      <c r="I25" s="232">
        <f t="shared" si="5"/>
        <v>0</v>
      </c>
      <c r="J25" s="232"/>
      <c r="K25" s="232"/>
      <c r="L25" s="232"/>
      <c r="M25" s="232"/>
      <c r="N25" s="232"/>
      <c r="O25" s="232"/>
      <c r="P25" s="232">
        <f t="shared" si="7"/>
        <v>0</v>
      </c>
      <c r="Q25" s="232"/>
      <c r="R25" s="232"/>
      <c r="S25" s="232"/>
      <c r="T25" s="232"/>
      <c r="U25" s="232"/>
      <c r="V25" s="232"/>
      <c r="W25" s="232">
        <f t="shared" si="8"/>
        <v>70</v>
      </c>
      <c r="X25" s="232"/>
      <c r="Y25" s="232"/>
      <c r="Z25" s="232"/>
      <c r="AA25" s="232">
        <f t="shared" si="9"/>
        <v>70</v>
      </c>
      <c r="AB25" s="232">
        <v>70</v>
      </c>
      <c r="AC25" s="232"/>
      <c r="AD25" s="104"/>
      <c r="AE25" s="104"/>
      <c r="AF25" s="104"/>
    </row>
    <row r="26" spans="1:32" s="150" customFormat="1" ht="30" customHeight="1">
      <c r="A26" s="103">
        <v>13</v>
      </c>
      <c r="B26" s="130" t="s">
        <v>251</v>
      </c>
      <c r="C26" s="94"/>
      <c r="D26" s="94"/>
      <c r="E26" s="315"/>
      <c r="F26" s="232">
        <f t="shared" si="3"/>
        <v>70</v>
      </c>
      <c r="G26" s="232"/>
      <c r="H26" s="232">
        <f t="shared" si="4"/>
        <v>70</v>
      </c>
      <c r="I26" s="232">
        <f t="shared" si="5"/>
        <v>0</v>
      </c>
      <c r="J26" s="232"/>
      <c r="K26" s="232"/>
      <c r="L26" s="232"/>
      <c r="M26" s="232"/>
      <c r="N26" s="232"/>
      <c r="O26" s="232"/>
      <c r="P26" s="232">
        <f t="shared" si="7"/>
        <v>0</v>
      </c>
      <c r="Q26" s="232"/>
      <c r="R26" s="232"/>
      <c r="S26" s="232"/>
      <c r="T26" s="232"/>
      <c r="U26" s="232"/>
      <c r="V26" s="232"/>
      <c r="W26" s="232">
        <f t="shared" si="8"/>
        <v>70</v>
      </c>
      <c r="X26" s="232"/>
      <c r="Y26" s="232"/>
      <c r="Z26" s="232"/>
      <c r="AA26" s="232">
        <f t="shared" si="9"/>
        <v>70</v>
      </c>
      <c r="AB26" s="232">
        <v>70</v>
      </c>
      <c r="AC26" s="232"/>
      <c r="AD26" s="104"/>
      <c r="AE26" s="104"/>
      <c r="AF26" s="104"/>
    </row>
    <row r="27" spans="1:32" s="150" customFormat="1" ht="30" customHeight="1">
      <c r="A27" s="103">
        <v>14</v>
      </c>
      <c r="B27" s="130" t="s">
        <v>317</v>
      </c>
      <c r="C27" s="94"/>
      <c r="D27" s="94"/>
      <c r="E27" s="315"/>
      <c r="F27" s="232">
        <f t="shared" si="3"/>
        <v>70</v>
      </c>
      <c r="G27" s="232"/>
      <c r="H27" s="232">
        <f t="shared" si="4"/>
        <v>70</v>
      </c>
      <c r="I27" s="232">
        <f t="shared" si="5"/>
        <v>0</v>
      </c>
      <c r="J27" s="232"/>
      <c r="K27" s="232"/>
      <c r="L27" s="232"/>
      <c r="M27" s="232"/>
      <c r="N27" s="232"/>
      <c r="O27" s="232"/>
      <c r="P27" s="232">
        <f t="shared" si="7"/>
        <v>0</v>
      </c>
      <c r="Q27" s="232"/>
      <c r="R27" s="232"/>
      <c r="S27" s="232"/>
      <c r="T27" s="232"/>
      <c r="U27" s="232"/>
      <c r="V27" s="232"/>
      <c r="W27" s="232">
        <f t="shared" si="8"/>
        <v>70</v>
      </c>
      <c r="X27" s="232"/>
      <c r="Y27" s="232"/>
      <c r="Z27" s="232"/>
      <c r="AA27" s="232">
        <f t="shared" si="9"/>
        <v>70</v>
      </c>
      <c r="AB27" s="232">
        <v>70</v>
      </c>
      <c r="AC27" s="232"/>
      <c r="AD27" s="104"/>
      <c r="AE27" s="104"/>
      <c r="AF27" s="104"/>
    </row>
    <row r="28" spans="1:32" s="150" customFormat="1" ht="30" customHeight="1">
      <c r="A28" s="103">
        <v>15</v>
      </c>
      <c r="B28" s="130" t="s">
        <v>235</v>
      </c>
      <c r="C28" s="94"/>
      <c r="D28" s="94"/>
      <c r="E28" s="315"/>
      <c r="F28" s="232">
        <f t="shared" si="3"/>
        <v>70</v>
      </c>
      <c r="G28" s="232"/>
      <c r="H28" s="232">
        <f t="shared" si="4"/>
        <v>70</v>
      </c>
      <c r="I28" s="232">
        <f t="shared" si="5"/>
        <v>0</v>
      </c>
      <c r="J28" s="232"/>
      <c r="K28" s="232"/>
      <c r="L28" s="232"/>
      <c r="M28" s="232"/>
      <c r="N28" s="232"/>
      <c r="O28" s="232"/>
      <c r="P28" s="232">
        <f t="shared" si="7"/>
        <v>0</v>
      </c>
      <c r="Q28" s="232"/>
      <c r="R28" s="232"/>
      <c r="S28" s="232"/>
      <c r="T28" s="232"/>
      <c r="U28" s="232"/>
      <c r="V28" s="232"/>
      <c r="W28" s="232">
        <f t="shared" si="8"/>
        <v>70</v>
      </c>
      <c r="X28" s="232"/>
      <c r="Y28" s="232"/>
      <c r="Z28" s="232"/>
      <c r="AA28" s="232">
        <f t="shared" si="9"/>
        <v>70</v>
      </c>
      <c r="AB28" s="232">
        <v>70</v>
      </c>
      <c r="AC28" s="232"/>
      <c r="AD28" s="104"/>
      <c r="AE28" s="104"/>
      <c r="AF28" s="104"/>
    </row>
    <row r="29" spans="1:32" s="150" customFormat="1" ht="30" customHeight="1">
      <c r="A29" s="103">
        <v>16</v>
      </c>
      <c r="B29" s="130" t="s">
        <v>35</v>
      </c>
      <c r="C29" s="94"/>
      <c r="D29" s="94"/>
      <c r="E29" s="315"/>
      <c r="F29" s="232">
        <f t="shared" si="3"/>
        <v>70</v>
      </c>
      <c r="G29" s="232"/>
      <c r="H29" s="232">
        <f t="shared" si="4"/>
        <v>70</v>
      </c>
      <c r="I29" s="232">
        <f t="shared" si="5"/>
        <v>0</v>
      </c>
      <c r="J29" s="232"/>
      <c r="K29" s="232"/>
      <c r="L29" s="232"/>
      <c r="M29" s="232"/>
      <c r="N29" s="232"/>
      <c r="O29" s="232"/>
      <c r="P29" s="232">
        <f t="shared" si="7"/>
        <v>0</v>
      </c>
      <c r="Q29" s="232"/>
      <c r="R29" s="232"/>
      <c r="S29" s="232"/>
      <c r="T29" s="232"/>
      <c r="U29" s="232"/>
      <c r="V29" s="232"/>
      <c r="W29" s="232">
        <f t="shared" si="8"/>
        <v>70</v>
      </c>
      <c r="X29" s="232"/>
      <c r="Y29" s="232"/>
      <c r="Z29" s="232"/>
      <c r="AA29" s="232">
        <f t="shared" si="9"/>
        <v>70</v>
      </c>
      <c r="AB29" s="232">
        <v>70</v>
      </c>
      <c r="AC29" s="232"/>
      <c r="AD29" s="104"/>
      <c r="AE29" s="104"/>
      <c r="AF29" s="104"/>
    </row>
    <row r="30" spans="1:32" s="150" customFormat="1" ht="30" customHeight="1">
      <c r="A30" s="103">
        <v>17</v>
      </c>
      <c r="B30" s="130" t="s">
        <v>324</v>
      </c>
      <c r="C30" s="94"/>
      <c r="D30" s="94"/>
      <c r="E30" s="315"/>
      <c r="F30" s="232">
        <f t="shared" si="3"/>
        <v>1508.781499</v>
      </c>
      <c r="G30" s="232"/>
      <c r="H30" s="232">
        <f t="shared" si="4"/>
        <v>1508.781499</v>
      </c>
      <c r="I30" s="232">
        <f t="shared" si="5"/>
        <v>0</v>
      </c>
      <c r="J30" s="232"/>
      <c r="K30" s="232"/>
      <c r="L30" s="232"/>
      <c r="M30" s="232"/>
      <c r="N30" s="232"/>
      <c r="O30" s="232"/>
      <c r="P30" s="232">
        <f t="shared" si="7"/>
        <v>0</v>
      </c>
      <c r="Q30" s="232"/>
      <c r="R30" s="232"/>
      <c r="S30" s="232"/>
      <c r="T30" s="232"/>
      <c r="U30" s="232"/>
      <c r="V30" s="232"/>
      <c r="W30" s="232">
        <f t="shared" si="8"/>
        <v>1508.781499</v>
      </c>
      <c r="X30" s="232"/>
      <c r="Y30" s="232"/>
      <c r="Z30" s="232"/>
      <c r="AA30" s="232">
        <f t="shared" si="9"/>
        <v>1508.781499</v>
      </c>
      <c r="AB30" s="232">
        <v>1508.781499</v>
      </c>
      <c r="AC30" s="232"/>
      <c r="AD30" s="104"/>
      <c r="AE30" s="104"/>
      <c r="AF30" s="104"/>
    </row>
    <row r="31" spans="1:32" s="150" customFormat="1" ht="30" customHeight="1">
      <c r="A31" s="103">
        <v>18</v>
      </c>
      <c r="B31" s="130" t="s">
        <v>336</v>
      </c>
      <c r="C31" s="94"/>
      <c r="D31" s="94"/>
      <c r="E31" s="315"/>
      <c r="F31" s="232">
        <f t="shared" si="3"/>
        <v>1462.073</v>
      </c>
      <c r="G31" s="232">
        <f>J31+Q31+X31</f>
        <v>1462.073</v>
      </c>
      <c r="H31" s="232">
        <f t="shared" si="4"/>
        <v>0</v>
      </c>
      <c r="I31" s="232">
        <f t="shared" si="5"/>
        <v>0</v>
      </c>
      <c r="J31" s="232"/>
      <c r="K31" s="232"/>
      <c r="L31" s="232"/>
      <c r="M31" s="232"/>
      <c r="N31" s="232"/>
      <c r="O31" s="232"/>
      <c r="P31" s="232">
        <f t="shared" si="7"/>
        <v>0</v>
      </c>
      <c r="Q31" s="232"/>
      <c r="R31" s="232"/>
      <c r="S31" s="232"/>
      <c r="T31" s="232"/>
      <c r="U31" s="232"/>
      <c r="V31" s="232"/>
      <c r="W31" s="232">
        <f t="shared" si="8"/>
        <v>1462.073</v>
      </c>
      <c r="X31" s="232">
        <f>Y31</f>
        <v>1462.073</v>
      </c>
      <c r="Y31" s="232">
        <v>1462.073</v>
      </c>
      <c r="Z31" s="232"/>
      <c r="AA31" s="232"/>
      <c r="AB31" s="232"/>
      <c r="AC31" s="232"/>
      <c r="AD31" s="104"/>
      <c r="AE31" s="104"/>
      <c r="AF31" s="104"/>
    </row>
    <row r="32" spans="1:32" s="150" customFormat="1" ht="30" customHeight="1">
      <c r="A32" s="103">
        <v>19</v>
      </c>
      <c r="B32" s="130" t="s">
        <v>329</v>
      </c>
      <c r="C32" s="94"/>
      <c r="D32" s="94"/>
      <c r="E32" s="315"/>
      <c r="F32" s="232">
        <f t="shared" si="3"/>
        <v>126.5</v>
      </c>
      <c r="G32" s="232"/>
      <c r="H32" s="232">
        <f t="shared" si="4"/>
        <v>126.5</v>
      </c>
      <c r="I32" s="232">
        <f t="shared" si="5"/>
        <v>126.5</v>
      </c>
      <c r="J32" s="232"/>
      <c r="K32" s="232"/>
      <c r="L32" s="232"/>
      <c r="M32" s="232">
        <f>N32</f>
        <v>126.5</v>
      </c>
      <c r="N32" s="232">
        <v>126.5</v>
      </c>
      <c r="O32" s="232"/>
      <c r="P32" s="232">
        <f t="shared" si="7"/>
        <v>0</v>
      </c>
      <c r="Q32" s="232"/>
      <c r="R32" s="232"/>
      <c r="S32" s="232"/>
      <c r="T32" s="232"/>
      <c r="U32" s="232"/>
      <c r="V32" s="232"/>
      <c r="W32" s="232">
        <f t="shared" si="8"/>
        <v>0</v>
      </c>
      <c r="X32" s="232"/>
      <c r="Y32" s="232"/>
      <c r="Z32" s="232"/>
      <c r="AA32" s="232"/>
      <c r="AB32" s="232"/>
      <c r="AC32" s="232"/>
      <c r="AD32" s="104"/>
      <c r="AE32" s="104"/>
      <c r="AF32" s="104"/>
    </row>
    <row r="33" spans="1:32" s="150" customFormat="1" ht="30" customHeight="1">
      <c r="A33" s="103">
        <v>20</v>
      </c>
      <c r="B33" s="130" t="s">
        <v>374</v>
      </c>
      <c r="C33" s="94"/>
      <c r="D33" s="94"/>
      <c r="E33" s="315"/>
      <c r="F33" s="232">
        <f t="shared" si="3"/>
        <v>146272.853481</v>
      </c>
      <c r="G33" s="232">
        <f>J33+Q33+X33</f>
        <v>146272.853481</v>
      </c>
      <c r="H33" s="232">
        <f t="shared" si="4"/>
        <v>0</v>
      </c>
      <c r="I33" s="232">
        <f t="shared" si="5"/>
        <v>101437.045178</v>
      </c>
      <c r="J33" s="232">
        <f>K33</f>
        <v>101437.045178</v>
      </c>
      <c r="K33" s="232">
        <v>101437.045178</v>
      </c>
      <c r="L33" s="232"/>
      <c r="M33" s="232"/>
      <c r="N33" s="232"/>
      <c r="O33" s="232"/>
      <c r="P33" s="232">
        <f t="shared" si="7"/>
        <v>44835.808303</v>
      </c>
      <c r="Q33" s="232">
        <f>R33</f>
        <v>44835.808303</v>
      </c>
      <c r="R33" s="232">
        <v>44835.808303</v>
      </c>
      <c r="S33" s="232"/>
      <c r="T33" s="232"/>
      <c r="U33" s="232"/>
      <c r="V33" s="232"/>
      <c r="W33" s="232">
        <f t="shared" si="8"/>
        <v>0</v>
      </c>
      <c r="X33" s="232"/>
      <c r="Y33" s="232"/>
      <c r="Z33" s="232"/>
      <c r="AA33" s="232"/>
      <c r="AB33" s="232"/>
      <c r="AC33" s="232"/>
      <c r="AD33" s="104"/>
      <c r="AE33" s="104"/>
      <c r="AF33" s="104"/>
    </row>
    <row r="34" spans="1:32" s="150" customFormat="1" ht="30" customHeight="1">
      <c r="A34" s="105" t="s">
        <v>119</v>
      </c>
      <c r="B34" s="106" t="s">
        <v>222</v>
      </c>
      <c r="C34" s="95"/>
      <c r="D34" s="95"/>
      <c r="E34" s="326"/>
      <c r="F34" s="329">
        <f aca="true" t="shared" si="10" ref="F34:V34">SUM(F35:F44)</f>
        <v>249183.346683</v>
      </c>
      <c r="G34" s="329">
        <f t="shared" si="10"/>
        <v>180364.14887600002</v>
      </c>
      <c r="H34" s="329">
        <f t="shared" si="10"/>
        <v>68819.19780699999</v>
      </c>
      <c r="I34" s="329">
        <f aca="true" t="shared" si="11" ref="I34:N34">SUM(I35:I44)</f>
        <v>37309.169522</v>
      </c>
      <c r="J34" s="329">
        <f t="shared" si="11"/>
        <v>6369.9775</v>
      </c>
      <c r="K34" s="329">
        <f t="shared" si="11"/>
        <v>6369.9775</v>
      </c>
      <c r="L34" s="329">
        <f t="shared" si="11"/>
        <v>0</v>
      </c>
      <c r="M34" s="329">
        <f t="shared" si="11"/>
        <v>30939.192022</v>
      </c>
      <c r="N34" s="329">
        <f t="shared" si="11"/>
        <v>30939.192022</v>
      </c>
      <c r="O34" s="329"/>
      <c r="P34" s="329">
        <f t="shared" si="10"/>
        <v>107677.77099300001</v>
      </c>
      <c r="Q34" s="329">
        <f t="shared" si="10"/>
        <v>72196.458956</v>
      </c>
      <c r="R34" s="329">
        <f t="shared" si="10"/>
        <v>72101.515956</v>
      </c>
      <c r="S34" s="329">
        <f t="shared" si="10"/>
        <v>94.943</v>
      </c>
      <c r="T34" s="329">
        <f t="shared" si="10"/>
        <v>35481.312037</v>
      </c>
      <c r="U34" s="329">
        <f t="shared" si="10"/>
        <v>35481.312037</v>
      </c>
      <c r="V34" s="329">
        <f t="shared" si="10"/>
        <v>0</v>
      </c>
      <c r="W34" s="329">
        <f aca="true" t="shared" si="12" ref="W34:AC34">SUM(W35:W44)</f>
        <v>104196.406168</v>
      </c>
      <c r="X34" s="329">
        <f t="shared" si="12"/>
        <v>101797.71242</v>
      </c>
      <c r="Y34" s="329">
        <f t="shared" si="12"/>
        <v>101797.71242</v>
      </c>
      <c r="Z34" s="329">
        <f t="shared" si="12"/>
        <v>0</v>
      </c>
      <c r="AA34" s="329">
        <f t="shared" si="12"/>
        <v>2398.6937479999997</v>
      </c>
      <c r="AB34" s="329">
        <f t="shared" si="12"/>
        <v>2398.6937479999997</v>
      </c>
      <c r="AC34" s="329">
        <f t="shared" si="12"/>
        <v>0</v>
      </c>
      <c r="AD34" s="107"/>
      <c r="AE34" s="107"/>
      <c r="AF34" s="107"/>
    </row>
    <row r="35" spans="1:32" s="150" customFormat="1" ht="30" customHeight="1">
      <c r="A35" s="57">
        <v>1</v>
      </c>
      <c r="B35" s="51" t="s">
        <v>74</v>
      </c>
      <c r="C35" s="94"/>
      <c r="D35" s="94"/>
      <c r="E35" s="315"/>
      <c r="F35" s="232">
        <f>SUM(G35:H35)</f>
        <v>8742.773417000002</v>
      </c>
      <c r="G35" s="232">
        <f>J35+Q35+X35</f>
        <v>0</v>
      </c>
      <c r="H35" s="232">
        <f>M35+T35+AA35</f>
        <v>8742.773417000002</v>
      </c>
      <c r="I35" s="232">
        <f>J35+M35</f>
        <v>6550.012217</v>
      </c>
      <c r="J35" s="232">
        <f>K35+L35</f>
        <v>0</v>
      </c>
      <c r="K35" s="232"/>
      <c r="L35" s="232"/>
      <c r="M35" s="232">
        <f>N35+O35</f>
        <v>6550.012217</v>
      </c>
      <c r="N35" s="232">
        <v>6550.012217</v>
      </c>
      <c r="O35" s="232"/>
      <c r="P35" s="232">
        <f>Q35+T35</f>
        <v>1962.848</v>
      </c>
      <c r="Q35" s="232">
        <f>R35+S35</f>
        <v>0</v>
      </c>
      <c r="R35" s="232"/>
      <c r="S35" s="232"/>
      <c r="T35" s="232">
        <f>U35+V35</f>
        <v>1962.848</v>
      </c>
      <c r="U35" s="232">
        <v>1962.848</v>
      </c>
      <c r="V35" s="232"/>
      <c r="W35" s="232">
        <f>X35+AA35</f>
        <v>229.9132</v>
      </c>
      <c r="X35" s="232">
        <f>Y35+Z35</f>
        <v>0</v>
      </c>
      <c r="Y35" s="232"/>
      <c r="Z35" s="232"/>
      <c r="AA35" s="232">
        <f>AB35+AC35</f>
        <v>229.9132</v>
      </c>
      <c r="AB35" s="232">
        <v>229.9132</v>
      </c>
      <c r="AC35" s="232"/>
      <c r="AD35" s="104"/>
      <c r="AE35" s="104"/>
      <c r="AF35" s="104"/>
    </row>
    <row r="36" spans="1:32" s="150" customFormat="1" ht="30" customHeight="1">
      <c r="A36" s="57">
        <v>2</v>
      </c>
      <c r="B36" s="51" t="s">
        <v>264</v>
      </c>
      <c r="C36" s="94"/>
      <c r="D36" s="94"/>
      <c r="E36" s="315"/>
      <c r="F36" s="232">
        <f aca="true" t="shared" si="13" ref="F36:F44">SUM(G36:H36)</f>
        <v>28222.135248000002</v>
      </c>
      <c r="G36" s="232">
        <f aca="true" t="shared" si="14" ref="G36:G44">J36+Q36+X36</f>
        <v>20516.849000000002</v>
      </c>
      <c r="H36" s="232">
        <f aca="true" t="shared" si="15" ref="H36:H44">M36+T36+AA36</f>
        <v>7705.286248</v>
      </c>
      <c r="I36" s="232">
        <f>J36+M36</f>
        <v>4641.927</v>
      </c>
      <c r="J36" s="232">
        <f aca="true" t="shared" si="16" ref="J36:J44">K36+L36</f>
        <v>1135.651</v>
      </c>
      <c r="K36" s="232">
        <v>1135.651</v>
      </c>
      <c r="L36" s="232"/>
      <c r="M36" s="232">
        <f>N36+O36</f>
        <v>3506.276</v>
      </c>
      <c r="N36" s="232">
        <v>3506.276</v>
      </c>
      <c r="O36" s="232"/>
      <c r="P36" s="232">
        <f aca="true" t="shared" si="17" ref="P36:P44">Q36+T36</f>
        <v>4260.107624</v>
      </c>
      <c r="Q36" s="232">
        <f aca="true" t="shared" si="18" ref="Q36:Q44">R36+S36</f>
        <v>384.087</v>
      </c>
      <c r="R36" s="232">
        <v>289.144</v>
      </c>
      <c r="S36" s="232">
        <v>94.943</v>
      </c>
      <c r="T36" s="232">
        <f aca="true" t="shared" si="19" ref="T36:T44">U36+V36</f>
        <v>3876.020624</v>
      </c>
      <c r="U36" s="232">
        <v>3876.020624</v>
      </c>
      <c r="V36" s="232"/>
      <c r="W36" s="232">
        <f aca="true" t="shared" si="20" ref="W36:W44">X36+AA36</f>
        <v>19320.100624000002</v>
      </c>
      <c r="X36" s="232">
        <f aca="true" t="shared" si="21" ref="X36:X44">Y36+Z36</f>
        <v>18997.111</v>
      </c>
      <c r="Y36" s="232">
        <f>18285.238+711.873</f>
        <v>18997.111</v>
      </c>
      <c r="Z36" s="232"/>
      <c r="AA36" s="232">
        <f aca="true" t="shared" si="22" ref="AA36:AA44">AB36+AC36</f>
        <v>322.989624</v>
      </c>
      <c r="AB36" s="232">
        <v>322.989624</v>
      </c>
      <c r="AC36" s="232"/>
      <c r="AD36" s="104"/>
      <c r="AE36" s="104"/>
      <c r="AF36" s="104"/>
    </row>
    <row r="37" spans="1:32" s="150" customFormat="1" ht="30" customHeight="1">
      <c r="A37" s="57">
        <v>3</v>
      </c>
      <c r="B37" s="51" t="s">
        <v>73</v>
      </c>
      <c r="C37" s="94"/>
      <c r="D37" s="94"/>
      <c r="E37" s="315"/>
      <c r="F37" s="232">
        <f t="shared" si="13"/>
        <v>31859.107621000003</v>
      </c>
      <c r="G37" s="232">
        <f t="shared" si="14"/>
        <v>26103.806</v>
      </c>
      <c r="H37" s="232">
        <f t="shared" si="15"/>
        <v>5755.3016210000005</v>
      </c>
      <c r="I37" s="232">
        <f aca="true" t="shared" si="23" ref="I37:I44">J37+M37</f>
        <v>940.545401</v>
      </c>
      <c r="J37" s="232">
        <f t="shared" si="16"/>
        <v>0</v>
      </c>
      <c r="K37" s="232"/>
      <c r="L37" s="232"/>
      <c r="M37" s="232">
        <f aca="true" t="shared" si="24" ref="M37:M44">N37+O37</f>
        <v>940.545401</v>
      </c>
      <c r="N37" s="232">
        <v>940.545401</v>
      </c>
      <c r="O37" s="232"/>
      <c r="P37" s="232">
        <f t="shared" si="17"/>
        <v>22805.67622</v>
      </c>
      <c r="Q37" s="232">
        <f t="shared" si="18"/>
        <v>18816.978</v>
      </c>
      <c r="R37" s="232">
        <v>18816.978</v>
      </c>
      <c r="S37" s="232"/>
      <c r="T37" s="232">
        <f t="shared" si="19"/>
        <v>3988.69822</v>
      </c>
      <c r="U37" s="232">
        <v>3988.69822</v>
      </c>
      <c r="V37" s="232"/>
      <c r="W37" s="232">
        <f t="shared" si="20"/>
        <v>8112.886</v>
      </c>
      <c r="X37" s="232">
        <f t="shared" si="21"/>
        <v>7286.828</v>
      </c>
      <c r="Y37" s="232">
        <v>7286.828</v>
      </c>
      <c r="Z37" s="232"/>
      <c r="AA37" s="232">
        <f t="shared" si="22"/>
        <v>826.058</v>
      </c>
      <c r="AB37" s="232">
        <v>826.058</v>
      </c>
      <c r="AC37" s="232"/>
      <c r="AD37" s="104"/>
      <c r="AE37" s="104"/>
      <c r="AF37" s="104"/>
    </row>
    <row r="38" spans="1:32" s="150" customFormat="1" ht="30" customHeight="1">
      <c r="A38" s="57">
        <v>4</v>
      </c>
      <c r="B38" s="51" t="s">
        <v>75</v>
      </c>
      <c r="C38" s="94"/>
      <c r="D38" s="94"/>
      <c r="E38" s="315"/>
      <c r="F38" s="232">
        <f t="shared" si="13"/>
        <v>30928.554654</v>
      </c>
      <c r="G38" s="232">
        <f t="shared" si="14"/>
        <v>25818.8985</v>
      </c>
      <c r="H38" s="232">
        <f t="shared" si="15"/>
        <v>5109.656154</v>
      </c>
      <c r="I38" s="232">
        <f t="shared" si="23"/>
        <v>7057.089318</v>
      </c>
      <c r="J38" s="232">
        <f t="shared" si="16"/>
        <v>5234.3265</v>
      </c>
      <c r="K38" s="232">
        <v>5234.3265</v>
      </c>
      <c r="L38" s="232"/>
      <c r="M38" s="232">
        <f t="shared" si="24"/>
        <v>1822.762818</v>
      </c>
      <c r="N38" s="232">
        <v>1822.762818</v>
      </c>
      <c r="O38" s="232"/>
      <c r="P38" s="232">
        <f t="shared" si="17"/>
        <v>12146.092336000002</v>
      </c>
      <c r="Q38" s="232">
        <f t="shared" si="18"/>
        <v>9089.199</v>
      </c>
      <c r="R38" s="232">
        <v>9089.199</v>
      </c>
      <c r="S38" s="232"/>
      <c r="T38" s="232">
        <f t="shared" si="19"/>
        <v>3056.893336</v>
      </c>
      <c r="U38" s="232">
        <v>3056.893336</v>
      </c>
      <c r="V38" s="232"/>
      <c r="W38" s="232">
        <f t="shared" si="20"/>
        <v>11725.373</v>
      </c>
      <c r="X38" s="232">
        <f t="shared" si="21"/>
        <v>11495.373</v>
      </c>
      <c r="Y38" s="232">
        <v>11495.373</v>
      </c>
      <c r="Z38" s="232"/>
      <c r="AA38" s="232">
        <f t="shared" si="22"/>
        <v>230</v>
      </c>
      <c r="AB38" s="232">
        <v>230</v>
      </c>
      <c r="AC38" s="232"/>
      <c r="AD38" s="104"/>
      <c r="AE38" s="104"/>
      <c r="AF38" s="104"/>
    </row>
    <row r="39" spans="1:32" s="150" customFormat="1" ht="30" customHeight="1">
      <c r="A39" s="57">
        <v>5</v>
      </c>
      <c r="B39" s="51" t="s">
        <v>76</v>
      </c>
      <c r="C39" s="94"/>
      <c r="D39" s="94"/>
      <c r="E39" s="315"/>
      <c r="F39" s="232">
        <f t="shared" si="13"/>
        <v>33802.414571</v>
      </c>
      <c r="G39" s="232">
        <f t="shared" si="14"/>
        <v>25373.276</v>
      </c>
      <c r="H39" s="232">
        <f t="shared" si="15"/>
        <v>8429.138571000001</v>
      </c>
      <c r="I39" s="232">
        <f t="shared" si="23"/>
        <v>3188.304676</v>
      </c>
      <c r="J39" s="232">
        <f t="shared" si="16"/>
        <v>0</v>
      </c>
      <c r="K39" s="232"/>
      <c r="L39" s="232"/>
      <c r="M39" s="232">
        <f t="shared" si="24"/>
        <v>3188.304676</v>
      </c>
      <c r="N39" s="232">
        <v>3188.304676</v>
      </c>
      <c r="O39" s="232"/>
      <c r="P39" s="232">
        <f t="shared" si="17"/>
        <v>14775.326255</v>
      </c>
      <c r="Q39" s="232">
        <f t="shared" si="18"/>
        <v>9607.495</v>
      </c>
      <c r="R39" s="232">
        <v>9607.495</v>
      </c>
      <c r="S39" s="232"/>
      <c r="T39" s="232">
        <f t="shared" si="19"/>
        <v>5167.831255</v>
      </c>
      <c r="U39" s="232">
        <v>5167.831255</v>
      </c>
      <c r="V39" s="232"/>
      <c r="W39" s="232">
        <f t="shared" si="20"/>
        <v>15838.783640000001</v>
      </c>
      <c r="X39" s="232">
        <f t="shared" si="21"/>
        <v>15765.781</v>
      </c>
      <c r="Y39" s="232">
        <v>15765.781</v>
      </c>
      <c r="Z39" s="232"/>
      <c r="AA39" s="232">
        <f t="shared" si="22"/>
        <v>73.00264</v>
      </c>
      <c r="AB39" s="232">
        <v>73.00264</v>
      </c>
      <c r="AC39" s="232"/>
      <c r="AD39" s="104"/>
      <c r="AE39" s="104"/>
      <c r="AF39" s="104"/>
    </row>
    <row r="40" spans="1:32" s="150" customFormat="1" ht="30" customHeight="1">
      <c r="A40" s="57">
        <v>6</v>
      </c>
      <c r="B40" s="51" t="s">
        <v>77</v>
      </c>
      <c r="C40" s="94"/>
      <c r="D40" s="94"/>
      <c r="E40" s="315"/>
      <c r="F40" s="232">
        <f t="shared" si="13"/>
        <v>49862.206917</v>
      </c>
      <c r="G40" s="232">
        <f t="shared" si="14"/>
        <v>40860.633404</v>
      </c>
      <c r="H40" s="232">
        <f t="shared" si="15"/>
        <v>9001.573513</v>
      </c>
      <c r="I40" s="232">
        <f t="shared" si="23"/>
        <v>4281.6296</v>
      </c>
      <c r="J40" s="232">
        <f t="shared" si="16"/>
        <v>0</v>
      </c>
      <c r="K40" s="232"/>
      <c r="L40" s="232"/>
      <c r="M40" s="232">
        <f t="shared" si="24"/>
        <v>4281.6296</v>
      </c>
      <c r="N40" s="232">
        <v>4281.6296</v>
      </c>
      <c r="O40" s="232"/>
      <c r="P40" s="232">
        <f t="shared" si="17"/>
        <v>33626.410669000004</v>
      </c>
      <c r="Q40" s="232">
        <f t="shared" si="18"/>
        <v>29005.237956</v>
      </c>
      <c r="R40" s="232">
        <v>29005.237956</v>
      </c>
      <c r="S40" s="232"/>
      <c r="T40" s="232">
        <f t="shared" si="19"/>
        <v>4621.172713</v>
      </c>
      <c r="U40" s="232">
        <v>4621.172713</v>
      </c>
      <c r="V40" s="232"/>
      <c r="W40" s="232">
        <f t="shared" si="20"/>
        <v>11954.166647999999</v>
      </c>
      <c r="X40" s="232">
        <f t="shared" si="21"/>
        <v>11855.395448</v>
      </c>
      <c r="Y40" s="232">
        <v>11855.395448</v>
      </c>
      <c r="Z40" s="232"/>
      <c r="AA40" s="232">
        <f t="shared" si="22"/>
        <v>98.7712</v>
      </c>
      <c r="AB40" s="232">
        <v>98.7712</v>
      </c>
      <c r="AC40" s="232"/>
      <c r="AD40" s="104"/>
      <c r="AE40" s="104"/>
      <c r="AF40" s="104"/>
    </row>
    <row r="41" spans="1:32" s="150" customFormat="1" ht="30" customHeight="1">
      <c r="A41" s="57">
        <v>7</v>
      </c>
      <c r="B41" s="51" t="s">
        <v>78</v>
      </c>
      <c r="C41" s="94"/>
      <c r="D41" s="94"/>
      <c r="E41" s="315"/>
      <c r="F41" s="232">
        <f t="shared" si="13"/>
        <v>31619.679799999998</v>
      </c>
      <c r="G41" s="232">
        <f t="shared" si="14"/>
        <v>19282.083</v>
      </c>
      <c r="H41" s="232">
        <f t="shared" si="15"/>
        <v>12337.5968</v>
      </c>
      <c r="I41" s="232">
        <f t="shared" si="23"/>
        <v>6025.2</v>
      </c>
      <c r="J41" s="232">
        <f t="shared" si="16"/>
        <v>0</v>
      </c>
      <c r="K41" s="232"/>
      <c r="L41" s="232"/>
      <c r="M41" s="232">
        <f t="shared" si="24"/>
        <v>6025.2</v>
      </c>
      <c r="N41" s="232">
        <v>6025.2</v>
      </c>
      <c r="O41" s="232"/>
      <c r="P41" s="232">
        <f t="shared" si="17"/>
        <v>11398.7788</v>
      </c>
      <c r="Q41" s="232">
        <f t="shared" si="18"/>
        <v>5293.462</v>
      </c>
      <c r="R41" s="232">
        <v>5293.462</v>
      </c>
      <c r="S41" s="232"/>
      <c r="T41" s="232">
        <f t="shared" si="19"/>
        <v>6105.3168</v>
      </c>
      <c r="U41" s="232">
        <v>6105.3168</v>
      </c>
      <c r="V41" s="232"/>
      <c r="W41" s="232">
        <f t="shared" si="20"/>
        <v>14195.701</v>
      </c>
      <c r="X41" s="232">
        <f t="shared" si="21"/>
        <v>13988.621</v>
      </c>
      <c r="Y41" s="232">
        <v>13988.621</v>
      </c>
      <c r="Z41" s="232"/>
      <c r="AA41" s="232">
        <f t="shared" si="22"/>
        <v>207.08</v>
      </c>
      <c r="AB41" s="232">
        <v>207.08</v>
      </c>
      <c r="AC41" s="232"/>
      <c r="AD41" s="104"/>
      <c r="AE41" s="104"/>
      <c r="AF41" s="104"/>
    </row>
    <row r="42" spans="1:32" s="150" customFormat="1" ht="30" customHeight="1">
      <c r="A42" s="57">
        <v>8</v>
      </c>
      <c r="B42" s="51" t="s">
        <v>79</v>
      </c>
      <c r="C42" s="94"/>
      <c r="D42" s="94"/>
      <c r="E42" s="315"/>
      <c r="F42" s="232">
        <f t="shared" si="13"/>
        <v>12832.256641</v>
      </c>
      <c r="G42" s="232">
        <f t="shared" si="14"/>
        <v>12079.669707</v>
      </c>
      <c r="H42" s="232">
        <f t="shared" si="15"/>
        <v>752.5869339999999</v>
      </c>
      <c r="I42" s="232">
        <f t="shared" si="23"/>
        <v>344.40976</v>
      </c>
      <c r="J42" s="232">
        <f t="shared" si="16"/>
        <v>0</v>
      </c>
      <c r="K42" s="232"/>
      <c r="L42" s="232"/>
      <c r="M42" s="232">
        <f t="shared" si="24"/>
        <v>344.40976</v>
      </c>
      <c r="N42" s="232">
        <v>344.40976</v>
      </c>
      <c r="O42" s="232"/>
      <c r="P42" s="232">
        <f t="shared" si="17"/>
        <v>407.377174</v>
      </c>
      <c r="Q42" s="232">
        <f t="shared" si="18"/>
        <v>0</v>
      </c>
      <c r="R42" s="232"/>
      <c r="S42" s="232"/>
      <c r="T42" s="232">
        <f t="shared" si="19"/>
        <v>407.377174</v>
      </c>
      <c r="U42" s="232">
        <v>407.377174</v>
      </c>
      <c r="V42" s="232"/>
      <c r="W42" s="232">
        <f t="shared" si="20"/>
        <v>12080.469706999998</v>
      </c>
      <c r="X42" s="232">
        <f t="shared" si="21"/>
        <v>12079.669707</v>
      </c>
      <c r="Y42" s="232">
        <v>12079.669707</v>
      </c>
      <c r="Z42" s="232"/>
      <c r="AA42" s="232">
        <f t="shared" si="22"/>
        <v>0.8</v>
      </c>
      <c r="AB42" s="232">
        <v>0.8</v>
      </c>
      <c r="AC42" s="232"/>
      <c r="AD42" s="104"/>
      <c r="AE42" s="104"/>
      <c r="AF42" s="104"/>
    </row>
    <row r="43" spans="1:32" s="150" customFormat="1" ht="30" customHeight="1">
      <c r="A43" s="57">
        <v>9</v>
      </c>
      <c r="B43" s="51" t="s">
        <v>80</v>
      </c>
      <c r="C43" s="94"/>
      <c r="D43" s="94"/>
      <c r="E43" s="315"/>
      <c r="F43" s="232">
        <f t="shared" si="13"/>
        <v>4969.951465</v>
      </c>
      <c r="G43" s="232">
        <f t="shared" si="14"/>
        <v>2176.467265</v>
      </c>
      <c r="H43" s="232">
        <f t="shared" si="15"/>
        <v>2793.4842</v>
      </c>
      <c r="I43" s="232">
        <f t="shared" si="23"/>
        <v>1522.3448</v>
      </c>
      <c r="J43" s="232">
        <f t="shared" si="16"/>
        <v>0</v>
      </c>
      <c r="K43" s="232"/>
      <c r="L43" s="232"/>
      <c r="M43" s="232">
        <f t="shared" si="24"/>
        <v>1522.3448</v>
      </c>
      <c r="N43" s="232">
        <v>1522.3448</v>
      </c>
      <c r="O43" s="232"/>
      <c r="P43" s="232">
        <f t="shared" si="17"/>
        <v>1231.1394</v>
      </c>
      <c r="Q43" s="232">
        <f t="shared" si="18"/>
        <v>0</v>
      </c>
      <c r="R43" s="232"/>
      <c r="S43" s="232"/>
      <c r="T43" s="232">
        <f t="shared" si="19"/>
        <v>1231.1394</v>
      </c>
      <c r="U43" s="232">
        <v>1231.1394</v>
      </c>
      <c r="V43" s="232"/>
      <c r="W43" s="232">
        <f t="shared" si="20"/>
        <v>2216.467265</v>
      </c>
      <c r="X43" s="232">
        <f t="shared" si="21"/>
        <v>2176.467265</v>
      </c>
      <c r="Y43" s="232">
        <v>2176.467265</v>
      </c>
      <c r="Z43" s="232"/>
      <c r="AA43" s="232">
        <f t="shared" si="22"/>
        <v>40</v>
      </c>
      <c r="AB43" s="232">
        <v>40</v>
      </c>
      <c r="AC43" s="232"/>
      <c r="AD43" s="104"/>
      <c r="AE43" s="104"/>
      <c r="AF43" s="104"/>
    </row>
    <row r="44" spans="1:32" s="150" customFormat="1" ht="30" customHeight="1">
      <c r="A44" s="151">
        <v>10</v>
      </c>
      <c r="B44" s="152" t="s">
        <v>81</v>
      </c>
      <c r="C44" s="96"/>
      <c r="D44" s="96"/>
      <c r="E44" s="455"/>
      <c r="F44" s="456">
        <f t="shared" si="13"/>
        <v>16344.266349000001</v>
      </c>
      <c r="G44" s="456">
        <f t="shared" si="14"/>
        <v>8152.466</v>
      </c>
      <c r="H44" s="456">
        <f t="shared" si="15"/>
        <v>8191.800349</v>
      </c>
      <c r="I44" s="456">
        <f t="shared" si="23"/>
        <v>2757.70675</v>
      </c>
      <c r="J44" s="456">
        <f t="shared" si="16"/>
        <v>0</v>
      </c>
      <c r="K44" s="456"/>
      <c r="L44" s="456"/>
      <c r="M44" s="456">
        <f t="shared" si="24"/>
        <v>2757.70675</v>
      </c>
      <c r="N44" s="456">
        <v>2757.70675</v>
      </c>
      <c r="O44" s="456"/>
      <c r="P44" s="456">
        <f t="shared" si="17"/>
        <v>5064.014515</v>
      </c>
      <c r="Q44" s="456">
        <f t="shared" si="18"/>
        <v>0</v>
      </c>
      <c r="R44" s="456"/>
      <c r="S44" s="456"/>
      <c r="T44" s="456">
        <f t="shared" si="19"/>
        <v>5064.014515</v>
      </c>
      <c r="U44" s="456">
        <v>5064.014515</v>
      </c>
      <c r="V44" s="456"/>
      <c r="W44" s="456">
        <f t="shared" si="20"/>
        <v>8522.545084000001</v>
      </c>
      <c r="X44" s="456">
        <f t="shared" si="21"/>
        <v>8152.466</v>
      </c>
      <c r="Y44" s="456">
        <v>8152.466</v>
      </c>
      <c r="Z44" s="456"/>
      <c r="AA44" s="456">
        <f t="shared" si="22"/>
        <v>370.079084</v>
      </c>
      <c r="AB44" s="456">
        <v>370.079084</v>
      </c>
      <c r="AC44" s="456"/>
      <c r="AD44" s="153"/>
      <c r="AE44" s="153"/>
      <c r="AF44" s="153"/>
    </row>
    <row r="45" spans="1:28" ht="15.75" hidden="1">
      <c r="A45" s="108"/>
      <c r="G45" s="126">
        <v>348764.606799</v>
      </c>
      <c r="H45" s="126">
        <v>125594.582624</v>
      </c>
      <c r="L45" s="126">
        <v>21781.029781</v>
      </c>
      <c r="N45" s="126">
        <v>125594.582624</v>
      </c>
      <c r="S45" s="126">
        <v>21781.029781</v>
      </c>
      <c r="U45" s="126">
        <v>125594.582624</v>
      </c>
      <c r="Z45" s="126">
        <v>21781.029781</v>
      </c>
      <c r="AB45" s="126">
        <v>125594.582624</v>
      </c>
    </row>
    <row r="46" spans="7:28" ht="15" hidden="1">
      <c r="G46" s="126">
        <f>G34-G45</f>
        <v>-168400.45792299998</v>
      </c>
      <c r="H46" s="126">
        <f>H34-H45</f>
        <v>-56775.38481700001</v>
      </c>
      <c r="L46" s="126">
        <f>L34-L45</f>
        <v>-21781.029781</v>
      </c>
      <c r="N46" s="126">
        <f>N34-N45</f>
        <v>-94655.390602</v>
      </c>
      <c r="S46" s="126">
        <f>S34-S45</f>
        <v>-21686.086781</v>
      </c>
      <c r="U46" s="126">
        <f>U34-U45</f>
        <v>-90113.270587</v>
      </c>
      <c r="Z46" s="126">
        <f>Z34-Z45</f>
        <v>-21781.029781</v>
      </c>
      <c r="AB46" s="126">
        <f>AB34-AB45</f>
        <v>-123195.888876</v>
      </c>
    </row>
    <row r="47" ht="15" hidden="1"/>
    <row r="48" spans="7:27" ht="15">
      <c r="G48" s="261"/>
      <c r="H48" s="261"/>
      <c r="I48" s="262"/>
      <c r="J48" s="261"/>
      <c r="K48" s="261"/>
      <c r="L48" s="262"/>
      <c r="P48" s="262"/>
      <c r="Q48" s="261"/>
      <c r="R48" s="261"/>
      <c r="S48" s="262"/>
      <c r="W48" s="261"/>
      <c r="X48" s="261"/>
      <c r="Y48" s="261"/>
      <c r="Z48" s="261"/>
      <c r="AA48" s="261"/>
    </row>
    <row r="50" spans="11:18" ht="15">
      <c r="K50" s="263"/>
      <c r="R50" s="263"/>
    </row>
  </sheetData>
  <sheetProtection/>
  <mergeCells count="47">
    <mergeCell ref="Z1:AC1"/>
    <mergeCell ref="N9:O9"/>
    <mergeCell ref="Z5:AB5"/>
    <mergeCell ref="F6:AC6"/>
    <mergeCell ref="W8:W10"/>
    <mergeCell ref="X8:Z8"/>
    <mergeCell ref="AA8:AC8"/>
    <mergeCell ref="X9:X10"/>
    <mergeCell ref="Y9:Z9"/>
    <mergeCell ref="AA9:AA10"/>
    <mergeCell ref="AE7:AF7"/>
    <mergeCell ref="P7:V7"/>
    <mergeCell ref="AD7:AD10"/>
    <mergeCell ref="P8:P10"/>
    <mergeCell ref="AE8:AE10"/>
    <mergeCell ref="AF8:AF10"/>
    <mergeCell ref="Q9:Q10"/>
    <mergeCell ref="R9:S9"/>
    <mergeCell ref="T9:T10"/>
    <mergeCell ref="W7:AC7"/>
    <mergeCell ref="C7:C10"/>
    <mergeCell ref="D7:E7"/>
    <mergeCell ref="F7:F10"/>
    <mergeCell ref="U9:V9"/>
    <mergeCell ref="G7:H7"/>
    <mergeCell ref="D8:D10"/>
    <mergeCell ref="E8:E10"/>
    <mergeCell ref="G8:G10"/>
    <mergeCell ref="H8:H10"/>
    <mergeCell ref="I7:O7"/>
    <mergeCell ref="AD5:AF5"/>
    <mergeCell ref="AD1:AF1"/>
    <mergeCell ref="A2:AF2"/>
    <mergeCell ref="A3:AF3"/>
    <mergeCell ref="A6:A10"/>
    <mergeCell ref="B6:B10"/>
    <mergeCell ref="C6:E6"/>
    <mergeCell ref="Q8:S8"/>
    <mergeCell ref="T8:V8"/>
    <mergeCell ref="AD6:AF6"/>
    <mergeCell ref="AB9:AC9"/>
    <mergeCell ref="I8:I10"/>
    <mergeCell ref="J8:L8"/>
    <mergeCell ref="M8:O8"/>
    <mergeCell ref="J9:J10"/>
    <mergeCell ref="K9:L9"/>
    <mergeCell ref="M9:M10"/>
  </mergeCells>
  <printOptions horizontalCentered="1"/>
  <pageMargins left="0" right="0" top="0.39" bottom="0.2362204724409449" header="0.37" footer="0.23"/>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pc</cp:lastModifiedBy>
  <cp:lastPrinted>2024-06-17T02:36:27Z</cp:lastPrinted>
  <dcterms:created xsi:type="dcterms:W3CDTF">2017-04-26T02:19:00Z</dcterms:created>
  <dcterms:modified xsi:type="dcterms:W3CDTF">2024-06-17T02:39:33Z</dcterms:modified>
  <cp:category/>
  <cp:version/>
  <cp:contentType/>
  <cp:contentStatus/>
</cp:coreProperties>
</file>